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040" tabRatio="842" firstSheet="1" activeTab="16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" sheetId="210" r:id="rId14"/>
    <sheet name="Dijagnostika" sheetId="214" r:id="rId15"/>
    <sheet name="Lab" sheetId="152" r:id="rId16"/>
    <sheet name="Dijalize" sheetId="211" r:id="rId17"/>
    <sheet name="Krv" sheetId="159" r:id="rId18"/>
    <sheet name="Lekovi" sheetId="160" r:id="rId19"/>
    <sheet name="Implantati" sheetId="161" r:id="rId20"/>
    <sheet name="Sanitet.mat" sheetId="162" r:id="rId21"/>
    <sheet name="Liste.čekanja" sheetId="200" r:id="rId22"/>
  </sheets>
  <externalReferences>
    <externalReference r:id="rId23"/>
  </externalReference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Print_Area" localSheetId="4">Kadar.nem.!#REF!</definedName>
    <definedName name="_xlnm.Print_Area" localSheetId="1">Kadar.ode.!#REF!</definedName>
    <definedName name="_xlnm.Print_Area" localSheetId="17">Krv!$A$1:$H$65</definedName>
    <definedName name="_xlnm.Print_Area" localSheetId="15">Lab!#REF!</definedName>
    <definedName name="_xlnm.Print_Area" localSheetId="18">Lekovi!$A$1:$K$144</definedName>
    <definedName name="_xlnm.Print_Area" localSheetId="21">Liste.čekanja!$A$1:$N$57</definedName>
    <definedName name="_xlnm.Print_Area" localSheetId="9">Neonatologija!$A$1:$H$12</definedName>
    <definedName name="_xlnm.Print_Area" localSheetId="11">Operacije!$A$1:$T$19</definedName>
    <definedName name="_xlnm.Print_Area" localSheetId="7">Pratioci!$A$1:$I$11</definedName>
    <definedName name="_xlnm.Print_Area" localSheetId="20">Sanitet.mat!#REF!</definedName>
    <definedName name="_xlnm.Print_Area" localSheetId="13">Usluge!$A$1:$K$4054</definedName>
    <definedName name="_xlnm.Print_Titles" localSheetId="19">Implantati!$5:$7</definedName>
    <definedName name="_xlnm.Print_Titles" localSheetId="3">Kadar.zaj.med.del.!#REF!</definedName>
    <definedName name="_xlnm.Print_Titles" localSheetId="15">Lab!$6:$7</definedName>
    <definedName name="_xlnm.Print_Titles" localSheetId="18">Lekovi!$5:$7</definedName>
    <definedName name="_xlnm.Print_Titles" localSheetId="21">Liste.čekanja!$1:$5</definedName>
  </definedNames>
  <calcPr calcId="124519"/>
</workbook>
</file>

<file path=xl/calcChain.xml><?xml version="1.0" encoding="utf-8"?>
<calcChain xmlns="http://schemas.openxmlformats.org/spreadsheetml/2006/main">
  <c r="J57" i="200"/>
  <c r="I57"/>
  <c r="J51"/>
  <c r="J54"/>
  <c r="I54"/>
  <c r="I51"/>
  <c r="J32"/>
  <c r="D57"/>
  <c r="E57"/>
  <c r="F57"/>
  <c r="G57"/>
  <c r="H57"/>
  <c r="K57"/>
  <c r="L57"/>
  <c r="M57"/>
  <c r="N57"/>
  <c r="C57"/>
  <c r="D29"/>
  <c r="E29"/>
  <c r="F29"/>
  <c r="G29"/>
  <c r="H29"/>
  <c r="I29"/>
  <c r="J29"/>
  <c r="J6" s="1"/>
  <c r="K29"/>
  <c r="L29"/>
  <c r="M29"/>
  <c r="N29"/>
  <c r="C29"/>
  <c r="D32"/>
  <c r="E32"/>
  <c r="F32"/>
  <c r="G32"/>
  <c r="H32"/>
  <c r="I32"/>
  <c r="I6" s="1"/>
  <c r="K32"/>
  <c r="L32"/>
  <c r="M32"/>
  <c r="N32"/>
  <c r="C32"/>
  <c r="E6" l="1"/>
  <c r="F6"/>
  <c r="G6"/>
  <c r="H6"/>
  <c r="K6"/>
  <c r="L6"/>
  <c r="M6"/>
  <c r="N6"/>
  <c r="D6"/>
  <c r="D125" i="161" l="1"/>
  <c r="I112"/>
  <c r="I111"/>
  <c r="I109"/>
  <c r="I108"/>
  <c r="I106"/>
  <c r="H99"/>
  <c r="G99"/>
  <c r="D99"/>
  <c r="C99"/>
  <c r="I90"/>
  <c r="I89"/>
  <c r="I88"/>
  <c r="I86"/>
  <c r="I83"/>
  <c r="I82"/>
  <c r="I81"/>
  <c r="I80"/>
  <c r="H79"/>
  <c r="G79"/>
  <c r="D79"/>
  <c r="C79"/>
  <c r="I76"/>
  <c r="I75"/>
  <c r="I74"/>
  <c r="H72"/>
  <c r="D72"/>
  <c r="I70"/>
  <c r="I69"/>
  <c r="I68"/>
  <c r="I66"/>
  <c r="I65"/>
  <c r="I64"/>
  <c r="I63"/>
  <c r="I62"/>
  <c r="H62"/>
  <c r="I61"/>
  <c r="H59"/>
  <c r="G59"/>
  <c r="D59"/>
  <c r="C59"/>
  <c r="I43"/>
  <c r="I42"/>
  <c r="I41"/>
  <c r="H40"/>
  <c r="G40"/>
  <c r="D40"/>
  <c r="C40"/>
  <c r="I33"/>
  <c r="I32"/>
  <c r="I31"/>
  <c r="I30"/>
  <c r="I29"/>
  <c r="H28"/>
  <c r="G28"/>
  <c r="I16"/>
  <c r="I15"/>
  <c r="I14"/>
  <c r="I13"/>
  <c r="I12"/>
  <c r="I10"/>
  <c r="H10"/>
  <c r="K143" i="160" l="1"/>
  <c r="H118"/>
  <c r="H117"/>
  <c r="K114"/>
  <c r="K105"/>
  <c r="K103"/>
  <c r="K102"/>
  <c r="K101"/>
  <c r="K100"/>
  <c r="K99"/>
  <c r="K96"/>
  <c r="K92" s="1"/>
  <c r="K61"/>
  <c r="K8"/>
  <c r="H64" i="159"/>
  <c r="H63"/>
  <c r="H62"/>
  <c r="H61"/>
  <c r="H59"/>
  <c r="H58"/>
  <c r="H57"/>
  <c r="H56"/>
  <c r="H55"/>
  <c r="H51"/>
  <c r="H50"/>
  <c r="H49"/>
  <c r="H48"/>
  <c r="H47"/>
  <c r="H46"/>
  <c r="H45"/>
  <c r="H44"/>
  <c r="H43"/>
  <c r="H42"/>
  <c r="H41"/>
  <c r="H40"/>
  <c r="H39"/>
  <c r="H38"/>
  <c r="H36"/>
  <c r="F36"/>
  <c r="H35"/>
  <c r="F35"/>
  <c r="H34"/>
  <c r="F34"/>
  <c r="H33"/>
  <c r="F33"/>
  <c r="H31"/>
  <c r="F31"/>
  <c r="H30"/>
  <c r="H29"/>
  <c r="H28"/>
  <c r="H27"/>
  <c r="H25"/>
  <c r="H24"/>
  <c r="H22"/>
  <c r="H21"/>
  <c r="H20"/>
  <c r="H19"/>
  <c r="F19"/>
  <c r="H18"/>
  <c r="F18"/>
  <c r="H16"/>
  <c r="H65" s="1"/>
  <c r="F16"/>
  <c r="F65" s="1"/>
  <c r="H15"/>
  <c r="F15"/>
  <c r="H14"/>
  <c r="F14"/>
  <c r="H13"/>
  <c r="F13"/>
  <c r="H12"/>
  <c r="F12"/>
  <c r="H11"/>
  <c r="F11"/>
  <c r="H10"/>
  <c r="F10"/>
  <c r="D15" i="162" l="1"/>
  <c r="E15" s="1"/>
  <c r="C15"/>
  <c r="E14"/>
  <c r="E13"/>
  <c r="E12"/>
  <c r="E11"/>
  <c r="E10"/>
  <c r="E9"/>
  <c r="E8"/>
  <c r="F13" i="174" l="1"/>
  <c r="D13"/>
  <c r="C13"/>
  <c r="E13" s="1"/>
  <c r="F12"/>
  <c r="D12"/>
  <c r="C12"/>
  <c r="E12" s="1"/>
  <c r="F11"/>
  <c r="E11"/>
  <c r="D11"/>
  <c r="C11"/>
  <c r="G11" s="1"/>
  <c r="F10"/>
  <c r="F14" s="1"/>
  <c r="E10"/>
  <c r="D10"/>
  <c r="C10"/>
  <c r="G10" s="1"/>
  <c r="F9"/>
  <c r="D9"/>
  <c r="C9"/>
  <c r="E9" s="1"/>
  <c r="F8"/>
  <c r="D8"/>
  <c r="D14" s="1"/>
  <c r="C8"/>
  <c r="G8" s="1"/>
  <c r="C3"/>
  <c r="I23" i="169"/>
  <c r="H23"/>
  <c r="G23"/>
  <c r="F23"/>
  <c r="E23"/>
  <c r="D23"/>
  <c r="C23"/>
  <c r="B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3"/>
  <c r="W22" i="192"/>
  <c r="V22"/>
  <c r="U22"/>
  <c r="T22"/>
  <c r="R22"/>
  <c r="Q22"/>
  <c r="N22"/>
  <c r="M22"/>
  <c r="L22"/>
  <c r="I22"/>
  <c r="H22"/>
  <c r="G22"/>
  <c r="F22"/>
  <c r="E22"/>
  <c r="D22"/>
  <c r="S21"/>
  <c r="P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S12"/>
  <c r="P12"/>
  <c r="O12"/>
  <c r="K12"/>
  <c r="J12"/>
  <c r="S11"/>
  <c r="P11"/>
  <c r="O11"/>
  <c r="K11"/>
  <c r="J11"/>
  <c r="S10"/>
  <c r="P10"/>
  <c r="O10"/>
  <c r="K10"/>
  <c r="K22" s="1"/>
  <c r="J10"/>
  <c r="S9"/>
  <c r="P9"/>
  <c r="P22" s="1"/>
  <c r="O9"/>
  <c r="O22" s="1"/>
  <c r="K9"/>
  <c r="J9"/>
  <c r="S8"/>
  <c r="S22" s="1"/>
  <c r="P8"/>
  <c r="O8"/>
  <c r="K8"/>
  <c r="J8"/>
  <c r="J22" s="1"/>
  <c r="C3"/>
  <c r="R17" i="191"/>
  <c r="Q17"/>
  <c r="P17"/>
  <c r="N17"/>
  <c r="M17"/>
  <c r="K17"/>
  <c r="J17"/>
  <c r="H17"/>
  <c r="G17"/>
  <c r="F17"/>
  <c r="E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I8"/>
  <c r="O7"/>
  <c r="L7"/>
  <c r="I7"/>
  <c r="C3"/>
  <c r="AF29" i="189"/>
  <c r="AE29"/>
  <c r="AD29"/>
  <c r="AB29"/>
  <c r="AA29"/>
  <c r="Z29"/>
  <c r="AC29" s="1"/>
  <c r="W29"/>
  <c r="V29"/>
  <c r="U29"/>
  <c r="T29"/>
  <c r="S29"/>
  <c r="X29" s="1"/>
  <c r="R29"/>
  <c r="O29"/>
  <c r="N29"/>
  <c r="M29"/>
  <c r="L29"/>
  <c r="P29" s="1"/>
  <c r="K29"/>
  <c r="J29"/>
  <c r="I29"/>
  <c r="Q29" s="1"/>
  <c r="G29"/>
  <c r="F29"/>
  <c r="E29"/>
  <c r="H29" s="1"/>
  <c r="C29"/>
  <c r="B29"/>
  <c r="Y28"/>
  <c r="X27"/>
  <c r="Y27" s="1"/>
  <c r="H27"/>
  <c r="D27" s="1"/>
  <c r="X26"/>
  <c r="Y26" s="1"/>
  <c r="Q26"/>
  <c r="P26"/>
  <c r="H26"/>
  <c r="D26"/>
  <c r="AC25"/>
  <c r="Y25"/>
  <c r="X25"/>
  <c r="Q25"/>
  <c r="P25"/>
  <c r="H25"/>
  <c r="D25" s="1"/>
  <c r="AC24"/>
  <c r="Y24"/>
  <c r="X24"/>
  <c r="P24"/>
  <c r="Q24" s="1"/>
  <c r="H24"/>
  <c r="D24" s="1"/>
  <c r="AC23"/>
  <c r="Y23"/>
  <c r="X23"/>
  <c r="Q23"/>
  <c r="P23"/>
  <c r="H23"/>
  <c r="D23" s="1"/>
  <c r="AC22"/>
  <c r="X22"/>
  <c r="Y22" s="1"/>
  <c r="Q22"/>
  <c r="P22"/>
  <c r="H22"/>
  <c r="D22"/>
  <c r="AC21"/>
  <c r="Y21"/>
  <c r="X21"/>
  <c r="Q21"/>
  <c r="P21"/>
  <c r="H21"/>
  <c r="D21" s="1"/>
  <c r="Y20"/>
  <c r="X20"/>
  <c r="Q20"/>
  <c r="P20"/>
  <c r="H20"/>
  <c r="D20" s="1"/>
  <c r="Y19"/>
  <c r="X19"/>
  <c r="Q19"/>
  <c r="P19"/>
  <c r="H19"/>
  <c r="D19" s="1"/>
  <c r="Y18"/>
  <c r="X18"/>
  <c r="Q18"/>
  <c r="P18"/>
  <c r="H18"/>
  <c r="D18" s="1"/>
  <c r="AC17"/>
  <c r="X17"/>
  <c r="Y17" s="1"/>
  <c r="Q17"/>
  <c r="P17"/>
  <c r="H17"/>
  <c r="D17"/>
  <c r="AC16"/>
  <c r="Y16"/>
  <c r="X16"/>
  <c r="Q16"/>
  <c r="P16"/>
  <c r="H16"/>
  <c r="D16" s="1"/>
  <c r="AC15"/>
  <c r="Y15"/>
  <c r="X15"/>
  <c r="P15"/>
  <c r="Q15" s="1"/>
  <c r="H15"/>
  <c r="D15" s="1"/>
  <c r="AC14"/>
  <c r="Y14"/>
  <c r="X14"/>
  <c r="Q14"/>
  <c r="P14"/>
  <c r="H14"/>
  <c r="D14" s="1"/>
  <c r="AC13"/>
  <c r="X13"/>
  <c r="Y13" s="1"/>
  <c r="Q13"/>
  <c r="P13"/>
  <c r="H13"/>
  <c r="D13"/>
  <c r="Y12"/>
  <c r="X12"/>
  <c r="P12"/>
  <c r="Q12" s="1"/>
  <c r="H12"/>
  <c r="D12" s="1"/>
  <c r="AC11"/>
  <c r="Y11"/>
  <c r="X11"/>
  <c r="Q11"/>
  <c r="P11"/>
  <c r="H11"/>
  <c r="D11" s="1"/>
  <c r="AC10"/>
  <c r="X10"/>
  <c r="Y10" s="1"/>
  <c r="Q10"/>
  <c r="P10"/>
  <c r="H10"/>
  <c r="D10"/>
  <c r="AC9"/>
  <c r="Y9"/>
  <c r="X9"/>
  <c r="Q9"/>
  <c r="P9"/>
  <c r="H9"/>
  <c r="D9" s="1"/>
  <c r="O17" i="191" l="1"/>
  <c r="I17"/>
  <c r="L17"/>
  <c r="G9" i="174"/>
  <c r="G14" s="1"/>
  <c r="G12"/>
  <c r="E8"/>
  <c r="E14" s="1"/>
  <c r="C14"/>
  <c r="G13"/>
  <c r="D29" i="189"/>
  <c r="Y29"/>
  <c r="K278" i="152" l="1"/>
  <c r="H278"/>
  <c r="I278" s="1"/>
  <c r="G278"/>
  <c r="F278"/>
  <c r="E278"/>
  <c r="D278"/>
  <c r="L244"/>
  <c r="K244"/>
  <c r="J244"/>
  <c r="I244"/>
  <c r="F244"/>
  <c r="L243"/>
  <c r="K243"/>
  <c r="J243"/>
  <c r="I243"/>
  <c r="F243"/>
  <c r="J242"/>
  <c r="I242"/>
  <c r="H242"/>
  <c r="G242"/>
  <c r="F242"/>
  <c r="E242"/>
  <c r="K242" s="1"/>
  <c r="L242" s="1"/>
  <c r="D242"/>
  <c r="K240"/>
  <c r="L240" s="1"/>
  <c r="J240"/>
  <c r="I240"/>
  <c r="F240"/>
  <c r="L239"/>
  <c r="K239"/>
  <c r="J239"/>
  <c r="I239"/>
  <c r="F239"/>
  <c r="L238"/>
  <c r="K238"/>
  <c r="J238"/>
  <c r="I238"/>
  <c r="F238"/>
  <c r="K237"/>
  <c r="L237" s="1"/>
  <c r="J237"/>
  <c r="I237"/>
  <c r="F237"/>
  <c r="K236"/>
  <c r="L236" s="1"/>
  <c r="J236"/>
  <c r="I236"/>
  <c r="F236"/>
  <c r="L235"/>
  <c r="K235"/>
  <c r="J235"/>
  <c r="I235"/>
  <c r="F235"/>
  <c r="L234"/>
  <c r="K234"/>
  <c r="J234"/>
  <c r="I234"/>
  <c r="F234"/>
  <c r="K233"/>
  <c r="L233" s="1"/>
  <c r="J233"/>
  <c r="J232" s="1"/>
  <c r="I233"/>
  <c r="F233"/>
  <c r="K232"/>
  <c r="H232"/>
  <c r="I232" s="1"/>
  <c r="G232"/>
  <c r="F232"/>
  <c r="E232"/>
  <c r="D232"/>
  <c r="L231"/>
  <c r="K231"/>
  <c r="J231"/>
  <c r="I231"/>
  <c r="F231"/>
  <c r="L230"/>
  <c r="K230"/>
  <c r="J230"/>
  <c r="I230"/>
  <c r="F230"/>
  <c r="K229"/>
  <c r="L229" s="1"/>
  <c r="J229"/>
  <c r="I229"/>
  <c r="F229"/>
  <c r="K228"/>
  <c r="L228" s="1"/>
  <c r="J228"/>
  <c r="I228"/>
  <c r="F228"/>
  <c r="L227"/>
  <c r="K227"/>
  <c r="J227"/>
  <c r="I227"/>
  <c r="F227"/>
  <c r="L226"/>
  <c r="K226"/>
  <c r="J226"/>
  <c r="I226"/>
  <c r="F226"/>
  <c r="J225"/>
  <c r="I225"/>
  <c r="H225"/>
  <c r="G225"/>
  <c r="F225"/>
  <c r="E225"/>
  <c r="K225" s="1"/>
  <c r="L225" s="1"/>
  <c r="D225"/>
  <c r="K223"/>
  <c r="L223" s="1"/>
  <c r="J223"/>
  <c r="J221" s="1"/>
  <c r="I223"/>
  <c r="F223"/>
  <c r="L222"/>
  <c r="K222"/>
  <c r="J222"/>
  <c r="I222"/>
  <c r="F222"/>
  <c r="I221"/>
  <c r="H221"/>
  <c r="G221"/>
  <c r="E221"/>
  <c r="F221" s="1"/>
  <c r="D221"/>
  <c r="K219"/>
  <c r="L219" s="1"/>
  <c r="J219"/>
  <c r="I219"/>
  <c r="F219"/>
  <c r="K218"/>
  <c r="L218" s="1"/>
  <c r="J218"/>
  <c r="I218"/>
  <c r="F218"/>
  <c r="L217"/>
  <c r="K217"/>
  <c r="J217"/>
  <c r="I217"/>
  <c r="F217"/>
  <c r="L216"/>
  <c r="K216"/>
  <c r="J216"/>
  <c r="I216"/>
  <c r="F216"/>
  <c r="K215"/>
  <c r="L215" s="1"/>
  <c r="J215"/>
  <c r="I215"/>
  <c r="F215"/>
  <c r="K214"/>
  <c r="L214" s="1"/>
  <c r="J214"/>
  <c r="I214"/>
  <c r="F214"/>
  <c r="L213"/>
  <c r="K213"/>
  <c r="J213"/>
  <c r="I213"/>
  <c r="F213"/>
  <c r="L212"/>
  <c r="K212"/>
  <c r="J212"/>
  <c r="I212"/>
  <c r="F212"/>
  <c r="K211"/>
  <c r="L211" s="1"/>
  <c r="J211"/>
  <c r="I211"/>
  <c r="F211"/>
  <c r="K210"/>
  <c r="L210" s="1"/>
  <c r="J210"/>
  <c r="I210"/>
  <c r="F210"/>
  <c r="L209"/>
  <c r="K209"/>
  <c r="J209"/>
  <c r="I209"/>
  <c r="F209"/>
  <c r="L208"/>
  <c r="K208"/>
  <c r="J208"/>
  <c r="I208"/>
  <c r="F208"/>
  <c r="K207"/>
  <c r="L207" s="1"/>
  <c r="J207"/>
  <c r="J206" s="1"/>
  <c r="I207"/>
  <c r="F207"/>
  <c r="K206"/>
  <c r="H206"/>
  <c r="I206" s="1"/>
  <c r="G206"/>
  <c r="F206"/>
  <c r="E206"/>
  <c r="D206"/>
  <c r="L204"/>
  <c r="K204"/>
  <c r="J204"/>
  <c r="I204"/>
  <c r="F204"/>
  <c r="L203"/>
  <c r="K203"/>
  <c r="J203"/>
  <c r="I203"/>
  <c r="F203"/>
  <c r="K202"/>
  <c r="L202" s="1"/>
  <c r="J202"/>
  <c r="I202"/>
  <c r="F202"/>
  <c r="K201"/>
  <c r="L201" s="1"/>
  <c r="J201"/>
  <c r="I201"/>
  <c r="F201"/>
  <c r="L200"/>
  <c r="K200"/>
  <c r="J200"/>
  <c r="I200"/>
  <c r="F200"/>
  <c r="L199"/>
  <c r="K199"/>
  <c r="J199"/>
  <c r="I199"/>
  <c r="F199"/>
  <c r="K198"/>
  <c r="L198" s="1"/>
  <c r="J198"/>
  <c r="I198"/>
  <c r="F198"/>
  <c r="K197"/>
  <c r="L197" s="1"/>
  <c r="J197"/>
  <c r="I197"/>
  <c r="F197"/>
  <c r="L196"/>
  <c r="K196"/>
  <c r="J196"/>
  <c r="I196"/>
  <c r="F196"/>
  <c r="L195"/>
  <c r="K195"/>
  <c r="J195"/>
  <c r="I195"/>
  <c r="F195"/>
  <c r="J194"/>
  <c r="I194"/>
  <c r="H194"/>
  <c r="G194"/>
  <c r="F194"/>
  <c r="E194"/>
  <c r="K194" s="1"/>
  <c r="L194" s="1"/>
  <c r="D194"/>
  <c r="K192"/>
  <c r="L192" s="1"/>
  <c r="J192"/>
  <c r="I192"/>
  <c r="F192"/>
  <c r="L191"/>
  <c r="K191"/>
  <c r="J191"/>
  <c r="I191"/>
  <c r="F191"/>
  <c r="L190"/>
  <c r="K190"/>
  <c r="J190"/>
  <c r="I190"/>
  <c r="F190"/>
  <c r="K189"/>
  <c r="L189" s="1"/>
  <c r="J189"/>
  <c r="I189"/>
  <c r="F189"/>
  <c r="K188"/>
  <c r="L188" s="1"/>
  <c r="J188"/>
  <c r="I188"/>
  <c r="F188"/>
  <c r="L187"/>
  <c r="K187"/>
  <c r="J187"/>
  <c r="I187"/>
  <c r="F187"/>
  <c r="L186"/>
  <c r="K186"/>
  <c r="J186"/>
  <c r="I186"/>
  <c r="F186"/>
  <c r="K185"/>
  <c r="L185" s="1"/>
  <c r="J185"/>
  <c r="I185"/>
  <c r="F185"/>
  <c r="K184"/>
  <c r="L184" s="1"/>
  <c r="J184"/>
  <c r="I184"/>
  <c r="F184"/>
  <c r="L183"/>
  <c r="K183"/>
  <c r="J183"/>
  <c r="I183"/>
  <c r="F183"/>
  <c r="L182"/>
  <c r="K182"/>
  <c r="J182"/>
  <c r="I182"/>
  <c r="F182"/>
  <c r="J181"/>
  <c r="I181"/>
  <c r="H181"/>
  <c r="G181"/>
  <c r="F181"/>
  <c r="E181"/>
  <c r="K181" s="1"/>
  <c r="L181" s="1"/>
  <c r="D181"/>
  <c r="K179"/>
  <c r="L179" s="1"/>
  <c r="J179"/>
  <c r="I179"/>
  <c r="F179"/>
  <c r="L178"/>
  <c r="K178"/>
  <c r="J178"/>
  <c r="I178"/>
  <c r="F178"/>
  <c r="L177"/>
  <c r="K177"/>
  <c r="J177"/>
  <c r="I177"/>
  <c r="F177"/>
  <c r="K176"/>
  <c r="L176" s="1"/>
  <c r="J176"/>
  <c r="I176"/>
  <c r="F176"/>
  <c r="K175"/>
  <c r="L175" s="1"/>
  <c r="J175"/>
  <c r="I175"/>
  <c r="F175"/>
  <c r="L174"/>
  <c r="K174"/>
  <c r="J174"/>
  <c r="I174"/>
  <c r="F174"/>
  <c r="L173"/>
  <c r="K173"/>
  <c r="J173"/>
  <c r="I173"/>
  <c r="F173"/>
  <c r="K172"/>
  <c r="L172" s="1"/>
  <c r="J172"/>
  <c r="I172"/>
  <c r="F172"/>
  <c r="K171"/>
  <c r="L171" s="1"/>
  <c r="J171"/>
  <c r="I171"/>
  <c r="F171"/>
  <c r="L170"/>
  <c r="K170"/>
  <c r="J170"/>
  <c r="I170"/>
  <c r="F170"/>
  <c r="L169"/>
  <c r="K169"/>
  <c r="J169"/>
  <c r="I169"/>
  <c r="F169"/>
  <c r="K168"/>
  <c r="L168" s="1"/>
  <c r="J168"/>
  <c r="I168"/>
  <c r="F168"/>
  <c r="K167"/>
  <c r="L167" s="1"/>
  <c r="J167"/>
  <c r="J166" s="1"/>
  <c r="I167"/>
  <c r="F167"/>
  <c r="H166"/>
  <c r="I166" s="1"/>
  <c r="G166"/>
  <c r="E166"/>
  <c r="F166" s="1"/>
  <c r="D166"/>
  <c r="L165"/>
  <c r="K165"/>
  <c r="J165"/>
  <c r="I165"/>
  <c r="F165"/>
  <c r="K164"/>
  <c r="L164" s="1"/>
  <c r="J164"/>
  <c r="I164"/>
  <c r="F164"/>
  <c r="K163"/>
  <c r="L163" s="1"/>
  <c r="J163"/>
  <c r="I163"/>
  <c r="F163"/>
  <c r="L162"/>
  <c r="K162"/>
  <c r="J162"/>
  <c r="I162"/>
  <c r="F162"/>
  <c r="L161"/>
  <c r="K161"/>
  <c r="J161"/>
  <c r="I161"/>
  <c r="F161"/>
  <c r="J160"/>
  <c r="I160"/>
  <c r="H160"/>
  <c r="G160"/>
  <c r="F160"/>
  <c r="E160"/>
  <c r="K160" s="1"/>
  <c r="L160" s="1"/>
  <c r="D160"/>
  <c r="K159"/>
  <c r="L159" s="1"/>
  <c r="J159"/>
  <c r="I159"/>
  <c r="F159"/>
  <c r="L158"/>
  <c r="K158"/>
  <c r="J158"/>
  <c r="I158"/>
  <c r="F158"/>
  <c r="L157"/>
  <c r="K157"/>
  <c r="J157"/>
  <c r="I157"/>
  <c r="F157"/>
  <c r="K156"/>
  <c r="L156" s="1"/>
  <c r="J156"/>
  <c r="J155" s="1"/>
  <c r="I156"/>
  <c r="F156"/>
  <c r="K155"/>
  <c r="L155" s="1"/>
  <c r="H155"/>
  <c r="I155" s="1"/>
  <c r="G155"/>
  <c r="F155"/>
  <c r="E155"/>
  <c r="D155"/>
  <c r="L153"/>
  <c r="K153"/>
  <c r="J153"/>
  <c r="I153"/>
  <c r="F153"/>
  <c r="L152"/>
  <c r="K152"/>
  <c r="J152"/>
  <c r="I152"/>
  <c r="F152"/>
  <c r="J151"/>
  <c r="I151"/>
  <c r="H151"/>
  <c r="G151"/>
  <c r="F151"/>
  <c r="E151"/>
  <c r="K151" s="1"/>
  <c r="L151" s="1"/>
  <c r="D151"/>
  <c r="K149"/>
  <c r="L149" s="1"/>
  <c r="J149"/>
  <c r="J147" s="1"/>
  <c r="L147" s="1"/>
  <c r="I149"/>
  <c r="F149"/>
  <c r="L148"/>
  <c r="K148"/>
  <c r="I148"/>
  <c r="F148"/>
  <c r="K147"/>
  <c r="G147"/>
  <c r="I147" s="1"/>
  <c r="F147"/>
  <c r="E147"/>
  <c r="D147"/>
  <c r="L146"/>
  <c r="K146"/>
  <c r="J146"/>
  <c r="I146"/>
  <c r="F146"/>
  <c r="L145"/>
  <c r="K145"/>
  <c r="J145"/>
  <c r="I145"/>
  <c r="F145"/>
  <c r="K144"/>
  <c r="L144" s="1"/>
  <c r="J144"/>
  <c r="I144"/>
  <c r="F144"/>
  <c r="K143"/>
  <c r="L143" s="1"/>
  <c r="J143"/>
  <c r="I143"/>
  <c r="F143"/>
  <c r="L142"/>
  <c r="K142"/>
  <c r="J142"/>
  <c r="I142"/>
  <c r="F142"/>
  <c r="L141"/>
  <c r="K141"/>
  <c r="J141"/>
  <c r="I141"/>
  <c r="F141"/>
  <c r="K140"/>
  <c r="L140" s="1"/>
  <c r="J140"/>
  <c r="I140"/>
  <c r="F140"/>
  <c r="K139"/>
  <c r="L139" s="1"/>
  <c r="J139"/>
  <c r="I139"/>
  <c r="F139"/>
  <c r="L138"/>
  <c r="K138"/>
  <c r="J138"/>
  <c r="I138"/>
  <c r="F138"/>
  <c r="L137"/>
  <c r="K137"/>
  <c r="J137"/>
  <c r="I137"/>
  <c r="F137"/>
  <c r="K136"/>
  <c r="J136"/>
  <c r="L136" s="1"/>
  <c r="I136"/>
  <c r="F136"/>
  <c r="K135"/>
  <c r="H135"/>
  <c r="G135"/>
  <c r="I135" s="1"/>
  <c r="F135"/>
  <c r="E135"/>
  <c r="D135"/>
  <c r="J134"/>
  <c r="H134"/>
  <c r="I134" s="1"/>
  <c r="F134"/>
  <c r="K133"/>
  <c r="L133" s="1"/>
  <c r="J133"/>
  <c r="J130" s="1"/>
  <c r="I133"/>
  <c r="F133"/>
  <c r="K132"/>
  <c r="L132" s="1"/>
  <c r="J132"/>
  <c r="H132"/>
  <c r="I132" s="1"/>
  <c r="F132"/>
  <c r="J131"/>
  <c r="I131"/>
  <c r="H131"/>
  <c r="H130" s="1"/>
  <c r="F131"/>
  <c r="G130"/>
  <c r="G128" s="1"/>
  <c r="G127" s="1"/>
  <c r="G279" s="1"/>
  <c r="F130"/>
  <c r="E130"/>
  <c r="D130"/>
  <c r="D128"/>
  <c r="D127" s="1"/>
  <c r="D279" s="1"/>
  <c r="K126"/>
  <c r="L126" s="1"/>
  <c r="J126"/>
  <c r="I126"/>
  <c r="F126"/>
  <c r="K124"/>
  <c r="L124" s="1"/>
  <c r="I124"/>
  <c r="K123"/>
  <c r="L123" s="1"/>
  <c r="I123"/>
  <c r="L122"/>
  <c r="K122"/>
  <c r="I122"/>
  <c r="L121"/>
  <c r="K121"/>
  <c r="J121"/>
  <c r="I121"/>
  <c r="F121"/>
  <c r="L120"/>
  <c r="K120"/>
  <c r="J120"/>
  <c r="I120"/>
  <c r="F120"/>
  <c r="K119"/>
  <c r="L119" s="1"/>
  <c r="J119"/>
  <c r="I119"/>
  <c r="F119"/>
  <c r="K118"/>
  <c r="L118" s="1"/>
  <c r="J118"/>
  <c r="I118"/>
  <c r="F118"/>
  <c r="L117"/>
  <c r="K117"/>
  <c r="J117"/>
  <c r="I117"/>
  <c r="F117"/>
  <c r="L116"/>
  <c r="K116"/>
  <c r="J116"/>
  <c r="I116"/>
  <c r="F116"/>
  <c r="K115"/>
  <c r="L115" s="1"/>
  <c r="J115"/>
  <c r="I115"/>
  <c r="F115"/>
  <c r="K114"/>
  <c r="L114" s="1"/>
  <c r="J114"/>
  <c r="I114"/>
  <c r="F114"/>
  <c r="L113"/>
  <c r="K113"/>
  <c r="J113"/>
  <c r="I113"/>
  <c r="F113"/>
  <c r="L112"/>
  <c r="K112"/>
  <c r="J112"/>
  <c r="I112"/>
  <c r="F112"/>
  <c r="K111"/>
  <c r="L111" s="1"/>
  <c r="J111"/>
  <c r="I111"/>
  <c r="F111"/>
  <c r="K110"/>
  <c r="L110" s="1"/>
  <c r="J110"/>
  <c r="I110"/>
  <c r="F110"/>
  <c r="L109"/>
  <c r="K109"/>
  <c r="J109"/>
  <c r="I109"/>
  <c r="F109"/>
  <c r="L108"/>
  <c r="K108"/>
  <c r="J108"/>
  <c r="I108"/>
  <c r="F108"/>
  <c r="K107"/>
  <c r="L107" s="1"/>
  <c r="J107"/>
  <c r="I107"/>
  <c r="F107"/>
  <c r="K106"/>
  <c r="L106" s="1"/>
  <c r="J106"/>
  <c r="I106"/>
  <c r="F106"/>
  <c r="L105"/>
  <c r="K105"/>
  <c r="J105"/>
  <c r="I105"/>
  <c r="F105"/>
  <c r="L104"/>
  <c r="K104"/>
  <c r="J104"/>
  <c r="I104"/>
  <c r="F104"/>
  <c r="K103"/>
  <c r="L103" s="1"/>
  <c r="J103"/>
  <c r="I103"/>
  <c r="F103"/>
  <c r="K102"/>
  <c r="L102" s="1"/>
  <c r="J102"/>
  <c r="I102"/>
  <c r="F102"/>
  <c r="L101"/>
  <c r="K101"/>
  <c r="J101"/>
  <c r="I101"/>
  <c r="F101"/>
  <c r="L100"/>
  <c r="K100"/>
  <c r="J100"/>
  <c r="I100"/>
  <c r="F100"/>
  <c r="K99"/>
  <c r="L99" s="1"/>
  <c r="J99"/>
  <c r="I99"/>
  <c r="F99"/>
  <c r="K98"/>
  <c r="L98" s="1"/>
  <c r="J98"/>
  <c r="I98"/>
  <c r="F98"/>
  <c r="L97"/>
  <c r="K97"/>
  <c r="J97"/>
  <c r="I97"/>
  <c r="F97"/>
  <c r="L96"/>
  <c r="K96"/>
  <c r="J96"/>
  <c r="I96"/>
  <c r="F96"/>
  <c r="K95"/>
  <c r="L95" s="1"/>
  <c r="J95"/>
  <c r="I95"/>
  <c r="F95"/>
  <c r="K94"/>
  <c r="L94" s="1"/>
  <c r="J94"/>
  <c r="I94"/>
  <c r="F94"/>
  <c r="L93"/>
  <c r="K93"/>
  <c r="J93"/>
  <c r="I93"/>
  <c r="F93"/>
  <c r="L92"/>
  <c r="K92"/>
  <c r="J92"/>
  <c r="I92"/>
  <c r="F92"/>
  <c r="K91"/>
  <c r="L91" s="1"/>
  <c r="J91"/>
  <c r="I91"/>
  <c r="F91"/>
  <c r="K90"/>
  <c r="L90" s="1"/>
  <c r="J90"/>
  <c r="I90"/>
  <c r="F90"/>
  <c r="L89"/>
  <c r="K89"/>
  <c r="J89"/>
  <c r="I89"/>
  <c r="F89"/>
  <c r="L88"/>
  <c r="K88"/>
  <c r="J88"/>
  <c r="I88"/>
  <c r="F88"/>
  <c r="K87"/>
  <c r="L87" s="1"/>
  <c r="J87"/>
  <c r="I87"/>
  <c r="F87"/>
  <c r="K86"/>
  <c r="L86" s="1"/>
  <c r="J86"/>
  <c r="I86"/>
  <c r="F86"/>
  <c r="L85"/>
  <c r="K85"/>
  <c r="J85"/>
  <c r="I85"/>
  <c r="F85"/>
  <c r="L84"/>
  <c r="K84"/>
  <c r="J84"/>
  <c r="I84"/>
  <c r="F84"/>
  <c r="K83"/>
  <c r="L83" s="1"/>
  <c r="J83"/>
  <c r="I83"/>
  <c r="F83"/>
  <c r="K82"/>
  <c r="L82" s="1"/>
  <c r="J82"/>
  <c r="I82"/>
  <c r="F82"/>
  <c r="L81"/>
  <c r="K81"/>
  <c r="J81"/>
  <c r="I81"/>
  <c r="F81"/>
  <c r="L80"/>
  <c r="K80"/>
  <c r="J80"/>
  <c r="I80"/>
  <c r="F80"/>
  <c r="K79"/>
  <c r="L79" s="1"/>
  <c r="J79"/>
  <c r="I79"/>
  <c r="F79"/>
  <c r="K78"/>
  <c r="L78" s="1"/>
  <c r="J78"/>
  <c r="I78"/>
  <c r="F78"/>
  <c r="L77"/>
  <c r="K77"/>
  <c r="J77"/>
  <c r="I77"/>
  <c r="F77"/>
  <c r="L76"/>
  <c r="K76"/>
  <c r="J76"/>
  <c r="I76"/>
  <c r="F76"/>
  <c r="K75"/>
  <c r="J75"/>
  <c r="L75" s="1"/>
  <c r="I75"/>
  <c r="F75"/>
  <c r="K74"/>
  <c r="L74" s="1"/>
  <c r="J74"/>
  <c r="I74"/>
  <c r="F74"/>
  <c r="L73"/>
  <c r="K73"/>
  <c r="J73"/>
  <c r="I73"/>
  <c r="F73"/>
  <c r="L72"/>
  <c r="K72"/>
  <c r="J72"/>
  <c r="I72"/>
  <c r="F72"/>
  <c r="K71"/>
  <c r="J71"/>
  <c r="L71" s="1"/>
  <c r="I71"/>
  <c r="F71"/>
  <c r="K70"/>
  <c r="L70" s="1"/>
  <c r="J70"/>
  <c r="I70"/>
  <c r="F70"/>
  <c r="L69"/>
  <c r="K69"/>
  <c r="J69"/>
  <c r="I69"/>
  <c r="F69"/>
  <c r="L68"/>
  <c r="K68"/>
  <c r="J68"/>
  <c r="I68"/>
  <c r="F68"/>
  <c r="K67"/>
  <c r="J67"/>
  <c r="L67" s="1"/>
  <c r="I67"/>
  <c r="F67"/>
  <c r="K66"/>
  <c r="L66" s="1"/>
  <c r="J66"/>
  <c r="I66"/>
  <c r="F66"/>
  <c r="L65"/>
  <c r="K65"/>
  <c r="J65"/>
  <c r="I65"/>
  <c r="F65"/>
  <c r="L64"/>
  <c r="K64"/>
  <c r="J64"/>
  <c r="I64"/>
  <c r="F64"/>
  <c r="K63"/>
  <c r="J63"/>
  <c r="L63" s="1"/>
  <c r="I63"/>
  <c r="F63"/>
  <c r="K62"/>
  <c r="L62" s="1"/>
  <c r="J62"/>
  <c r="I62"/>
  <c r="F62"/>
  <c r="L61"/>
  <c r="K61"/>
  <c r="J61"/>
  <c r="I61"/>
  <c r="F61"/>
  <c r="L60"/>
  <c r="K60"/>
  <c r="J60"/>
  <c r="I60"/>
  <c r="F60"/>
  <c r="K59"/>
  <c r="J59"/>
  <c r="L59" s="1"/>
  <c r="I59"/>
  <c r="F59"/>
  <c r="K58"/>
  <c r="L58" s="1"/>
  <c r="I58"/>
  <c r="F58"/>
  <c r="K57"/>
  <c r="L57" s="1"/>
  <c r="J57"/>
  <c r="I57"/>
  <c r="F57"/>
  <c r="L56"/>
  <c r="K56"/>
  <c r="J56"/>
  <c r="I56"/>
  <c r="F56"/>
  <c r="L55"/>
  <c r="K55"/>
  <c r="J55"/>
  <c r="I55"/>
  <c r="F55"/>
  <c r="K54"/>
  <c r="J54"/>
  <c r="L54" s="1"/>
  <c r="I54"/>
  <c r="F54"/>
  <c r="K53"/>
  <c r="L53" s="1"/>
  <c r="J53"/>
  <c r="I53"/>
  <c r="F53"/>
  <c r="L52"/>
  <c r="K52"/>
  <c r="J52"/>
  <c r="I52"/>
  <c r="F52"/>
  <c r="L51"/>
  <c r="K51"/>
  <c r="J51"/>
  <c r="I51"/>
  <c r="F51"/>
  <c r="K50"/>
  <c r="J50"/>
  <c r="L50" s="1"/>
  <c r="I50"/>
  <c r="F50"/>
  <c r="K49"/>
  <c r="L49" s="1"/>
  <c r="J49"/>
  <c r="I49"/>
  <c r="F49"/>
  <c r="L48"/>
  <c r="K48"/>
  <c r="J48"/>
  <c r="I48"/>
  <c r="F48"/>
  <c r="L47"/>
  <c r="K47"/>
  <c r="J47"/>
  <c r="I47"/>
  <c r="F47"/>
  <c r="K46"/>
  <c r="J46"/>
  <c r="L46" s="1"/>
  <c r="I46"/>
  <c r="F46"/>
  <c r="K45"/>
  <c r="L45" s="1"/>
  <c r="J45"/>
  <c r="I45"/>
  <c r="F45"/>
  <c r="L44"/>
  <c r="K44"/>
  <c r="J44"/>
  <c r="I44"/>
  <c r="F44"/>
  <c r="L43"/>
  <c r="K43"/>
  <c r="J43"/>
  <c r="I43"/>
  <c r="F43"/>
  <c r="K42"/>
  <c r="J42"/>
  <c r="L42" s="1"/>
  <c r="I42"/>
  <c r="F42"/>
  <c r="K41"/>
  <c r="L41" s="1"/>
  <c r="J41"/>
  <c r="I41"/>
  <c r="F41"/>
  <c r="L40"/>
  <c r="K40"/>
  <c r="J40"/>
  <c r="I40"/>
  <c r="F40"/>
  <c r="L39"/>
  <c r="K39"/>
  <c r="J39"/>
  <c r="I39"/>
  <c r="F39"/>
  <c r="K38"/>
  <c r="J38"/>
  <c r="L38" s="1"/>
  <c r="I38"/>
  <c r="F38"/>
  <c r="K37"/>
  <c r="L37" s="1"/>
  <c r="J37"/>
  <c r="I37"/>
  <c r="F37"/>
  <c r="L36"/>
  <c r="K36"/>
  <c r="J36"/>
  <c r="I36"/>
  <c r="F36"/>
  <c r="L35"/>
  <c r="K35"/>
  <c r="J35"/>
  <c r="I35"/>
  <c r="F35"/>
  <c r="K34"/>
  <c r="J34"/>
  <c r="L34" s="1"/>
  <c r="I34"/>
  <c r="F34"/>
  <c r="K33"/>
  <c r="L33" s="1"/>
  <c r="J33"/>
  <c r="I33"/>
  <c r="F33"/>
  <c r="L32"/>
  <c r="K32"/>
  <c r="J32"/>
  <c r="I32"/>
  <c r="F32"/>
  <c r="L31"/>
  <c r="K31"/>
  <c r="J31"/>
  <c r="I31"/>
  <c r="F31"/>
  <c r="K30"/>
  <c r="J30"/>
  <c r="L30" s="1"/>
  <c r="I30"/>
  <c r="F30"/>
  <c r="K29"/>
  <c r="L29" s="1"/>
  <c r="J29"/>
  <c r="I29"/>
  <c r="F29"/>
  <c r="L28"/>
  <c r="K28"/>
  <c r="J28"/>
  <c r="I28"/>
  <c r="F28"/>
  <c r="L27"/>
  <c r="K27"/>
  <c r="J27"/>
  <c r="I27"/>
  <c r="F27"/>
  <c r="K26"/>
  <c r="J26"/>
  <c r="L26" s="1"/>
  <c r="I26"/>
  <c r="F26"/>
  <c r="K25"/>
  <c r="I25"/>
  <c r="G25"/>
  <c r="F25"/>
  <c r="D25"/>
  <c r="J25" s="1"/>
  <c r="K24"/>
  <c r="J24"/>
  <c r="L24" s="1"/>
  <c r="I24"/>
  <c r="F24"/>
  <c r="K23"/>
  <c r="L23" s="1"/>
  <c r="J23"/>
  <c r="I23"/>
  <c r="F23"/>
  <c r="L22"/>
  <c r="K22"/>
  <c r="J22"/>
  <c r="I22"/>
  <c r="F22"/>
  <c r="L21"/>
  <c r="K21"/>
  <c r="J21"/>
  <c r="I21"/>
  <c r="F21"/>
  <c r="K20"/>
  <c r="J20"/>
  <c r="L20" s="1"/>
  <c r="I20"/>
  <c r="F20"/>
  <c r="K19"/>
  <c r="L19" s="1"/>
  <c r="J19"/>
  <c r="I19"/>
  <c r="F19"/>
  <c r="L18"/>
  <c r="K18"/>
  <c r="J18"/>
  <c r="I18"/>
  <c r="F18"/>
  <c r="L17"/>
  <c r="K17"/>
  <c r="J17"/>
  <c r="I17"/>
  <c r="F17"/>
  <c r="K16"/>
  <c r="J16"/>
  <c r="L16" s="1"/>
  <c r="I16"/>
  <c r="F16"/>
  <c r="K15"/>
  <c r="L15" s="1"/>
  <c r="J15"/>
  <c r="I15"/>
  <c r="F15"/>
  <c r="L14"/>
  <c r="K14"/>
  <c r="J14"/>
  <c r="I14"/>
  <c r="F14"/>
  <c r="L13"/>
  <c r="K13"/>
  <c r="J13"/>
  <c r="I13"/>
  <c r="F13"/>
  <c r="K12"/>
  <c r="J12"/>
  <c r="L12" s="1"/>
  <c r="I12"/>
  <c r="F12"/>
  <c r="K11"/>
  <c r="L11" s="1"/>
  <c r="J11"/>
  <c r="J9" s="1"/>
  <c r="I11"/>
  <c r="F11"/>
  <c r="L10"/>
  <c r="K10"/>
  <c r="I10"/>
  <c r="F10"/>
  <c r="H9"/>
  <c r="I9" s="1"/>
  <c r="G9"/>
  <c r="E9"/>
  <c r="D9"/>
  <c r="F9" s="1"/>
  <c r="L8"/>
  <c r="K8"/>
  <c r="J8"/>
  <c r="I8"/>
  <c r="F8"/>
  <c r="K7"/>
  <c r="J7"/>
  <c r="L7" s="1"/>
  <c r="I7"/>
  <c r="F7"/>
  <c r="G280" l="1"/>
  <c r="L25"/>
  <c r="L206"/>
  <c r="I130"/>
  <c r="K130"/>
  <c r="L130" s="1"/>
  <c r="H128"/>
  <c r="L232"/>
  <c r="K9"/>
  <c r="K134"/>
  <c r="L134" s="1"/>
  <c r="J135"/>
  <c r="J128" s="1"/>
  <c r="K166"/>
  <c r="L166" s="1"/>
  <c r="J278"/>
  <c r="L278" s="1"/>
  <c r="D280"/>
  <c r="K131"/>
  <c r="L131" s="1"/>
  <c r="K221"/>
  <c r="L221" s="1"/>
  <c r="E128"/>
  <c r="J127" l="1"/>
  <c r="J279" s="1"/>
  <c r="J280"/>
  <c r="L9"/>
  <c r="L135"/>
  <c r="F128"/>
  <c r="K128"/>
  <c r="L128" s="1"/>
  <c r="E280"/>
  <c r="F280" s="1"/>
  <c r="E127"/>
  <c r="I128"/>
  <c r="H127"/>
  <c r="H280"/>
  <c r="I280" s="1"/>
  <c r="F127" l="1"/>
  <c r="K127"/>
  <c r="E279"/>
  <c r="F279" s="1"/>
  <c r="K280"/>
  <c r="L280" s="1"/>
  <c r="I127"/>
  <c r="H279"/>
  <c r="I279" s="1"/>
  <c r="L127" l="1"/>
  <c r="K279"/>
  <c r="L279" s="1"/>
  <c r="G4052" i="210" l="1"/>
  <c r="C4052"/>
  <c r="H4051"/>
  <c r="G4051"/>
  <c r="G4053" s="1"/>
  <c r="F4051"/>
  <c r="D4051"/>
  <c r="D4053" s="1"/>
  <c r="E4053" s="1"/>
  <c r="C4051"/>
  <c r="C4053" s="1"/>
  <c r="J4050"/>
  <c r="I4050"/>
  <c r="K4050" s="1"/>
  <c r="H4050"/>
  <c r="J4049"/>
  <c r="I4049"/>
  <c r="K4049" s="1"/>
  <c r="H4049"/>
  <c r="J4048"/>
  <c r="I4048"/>
  <c r="K4048" s="1"/>
  <c r="H4048"/>
  <c r="J4047"/>
  <c r="I4047"/>
  <c r="K4047" s="1"/>
  <c r="H4047"/>
  <c r="J4046"/>
  <c r="I4046"/>
  <c r="K4046" s="1"/>
  <c r="H4046"/>
  <c r="J4045"/>
  <c r="I4045"/>
  <c r="K4045" s="1"/>
  <c r="H4045"/>
  <c r="J4044"/>
  <c r="I4044"/>
  <c r="K4044" s="1"/>
  <c r="H4044"/>
  <c r="J4043"/>
  <c r="I4043"/>
  <c r="K4043" s="1"/>
  <c r="H4043"/>
  <c r="J4042"/>
  <c r="I4042"/>
  <c r="K4042" s="1"/>
  <c r="H4042"/>
  <c r="K4041"/>
  <c r="J4041"/>
  <c r="H4041"/>
  <c r="K4040"/>
  <c r="J4040"/>
  <c r="I4040"/>
  <c r="H4040"/>
  <c r="K4039"/>
  <c r="J4039"/>
  <c r="I4039"/>
  <c r="H4039"/>
  <c r="K4038"/>
  <c r="J4038"/>
  <c r="I4038"/>
  <c r="H4038"/>
  <c r="K4037"/>
  <c r="J4037"/>
  <c r="I4037"/>
  <c r="H4037"/>
  <c r="K4036"/>
  <c r="J4036"/>
  <c r="I4036"/>
  <c r="H4036"/>
  <c r="K4035"/>
  <c r="J4035"/>
  <c r="I4035"/>
  <c r="H4035"/>
  <c r="K4034"/>
  <c r="J4034"/>
  <c r="I4034"/>
  <c r="H4034"/>
  <c r="K4033"/>
  <c r="J4033"/>
  <c r="I4033"/>
  <c r="H4033"/>
  <c r="K4032"/>
  <c r="J4032"/>
  <c r="I4032"/>
  <c r="H4032"/>
  <c r="K4031"/>
  <c r="J4031"/>
  <c r="I4031"/>
  <c r="H4031"/>
  <c r="K4030"/>
  <c r="J4030"/>
  <c r="I4030"/>
  <c r="H4030"/>
  <c r="K4029"/>
  <c r="J4029"/>
  <c r="I4029"/>
  <c r="H4029"/>
  <c r="K4028"/>
  <c r="J4028"/>
  <c r="I4028"/>
  <c r="H4028"/>
  <c r="K4027"/>
  <c r="J4027"/>
  <c r="I4027"/>
  <c r="H4027"/>
  <c r="K4026"/>
  <c r="J4026"/>
  <c r="J4051" s="1"/>
  <c r="I4026"/>
  <c r="I4051" s="1"/>
  <c r="H4026"/>
  <c r="F4024"/>
  <c r="F4052" s="1"/>
  <c r="F4053" s="1"/>
  <c r="E4024"/>
  <c r="D4024"/>
  <c r="D4052" s="1"/>
  <c r="E4052" s="1"/>
  <c r="C4024"/>
  <c r="K4023"/>
  <c r="J4023"/>
  <c r="I4023"/>
  <c r="E4023"/>
  <c r="K4022"/>
  <c r="J4022"/>
  <c r="I4022"/>
  <c r="E4022"/>
  <c r="K4021"/>
  <c r="J4021"/>
  <c r="I4021"/>
  <c r="E4021"/>
  <c r="K4020"/>
  <c r="J4020"/>
  <c r="I4020"/>
  <c r="E4020"/>
  <c r="K4019"/>
  <c r="J4019"/>
  <c r="I4019"/>
  <c r="E4019"/>
  <c r="K4018"/>
  <c r="J4018"/>
  <c r="I4018"/>
  <c r="E4018"/>
  <c r="K4017"/>
  <c r="J4017"/>
  <c r="I4017"/>
  <c r="E4017"/>
  <c r="K4016"/>
  <c r="J4016"/>
  <c r="I4016"/>
  <c r="E4016"/>
  <c r="K4015"/>
  <c r="J4015"/>
  <c r="I4015"/>
  <c r="E4015"/>
  <c r="K4014"/>
  <c r="J4014"/>
  <c r="I4014"/>
  <c r="E4014"/>
  <c r="K4013"/>
  <c r="J4013"/>
  <c r="I4013"/>
  <c r="E4013"/>
  <c r="K4012"/>
  <c r="J4012"/>
  <c r="I4012"/>
  <c r="E4012"/>
  <c r="K4011"/>
  <c r="J4011"/>
  <c r="I4011"/>
  <c r="E4011"/>
  <c r="K4010"/>
  <c r="J4010"/>
  <c r="J4024" s="1"/>
  <c r="I4010"/>
  <c r="I4024" s="1"/>
  <c r="I4052" s="1"/>
  <c r="E4010"/>
  <c r="F4001"/>
  <c r="E4001"/>
  <c r="D4001"/>
  <c r="C4001"/>
  <c r="K4000"/>
  <c r="J4000"/>
  <c r="I4000"/>
  <c r="H4000"/>
  <c r="E4000"/>
  <c r="K3999"/>
  <c r="J3999"/>
  <c r="I3999"/>
  <c r="H3999"/>
  <c r="E3999"/>
  <c r="J3998"/>
  <c r="I3998"/>
  <c r="K3998" s="1"/>
  <c r="H3998"/>
  <c r="E3998"/>
  <c r="J3997"/>
  <c r="K3997" s="1"/>
  <c r="I3997"/>
  <c r="H3997"/>
  <c r="E3997"/>
  <c r="K3996"/>
  <c r="J3996"/>
  <c r="I3996"/>
  <c r="H3996"/>
  <c r="E3996"/>
  <c r="K3995"/>
  <c r="J3995"/>
  <c r="I3995"/>
  <c r="H3995"/>
  <c r="E3995"/>
  <c r="J3994"/>
  <c r="I3994"/>
  <c r="K3994" s="1"/>
  <c r="H3994"/>
  <c r="E3994"/>
  <c r="J3993"/>
  <c r="K3993" s="1"/>
  <c r="I3993"/>
  <c r="H3993"/>
  <c r="E3993"/>
  <c r="K3992"/>
  <c r="J3992"/>
  <c r="I3992"/>
  <c r="H3992"/>
  <c r="E3992"/>
  <c r="K3991"/>
  <c r="J3991"/>
  <c r="I3991"/>
  <c r="H3991"/>
  <c r="E3991"/>
  <c r="J3990"/>
  <c r="I3990"/>
  <c r="K3990" s="1"/>
  <c r="H3990"/>
  <c r="E3990"/>
  <c r="J3989"/>
  <c r="K3989" s="1"/>
  <c r="I3989"/>
  <c r="H3989"/>
  <c r="E3989"/>
  <c r="K3988"/>
  <c r="J3988"/>
  <c r="I3988"/>
  <c r="H3988"/>
  <c r="E3988"/>
  <c r="I3987"/>
  <c r="H3987"/>
  <c r="G3987"/>
  <c r="J3987" s="1"/>
  <c r="K3987" s="1"/>
  <c r="E3987"/>
  <c r="J3986"/>
  <c r="K3986" s="1"/>
  <c r="I3986"/>
  <c r="H3986"/>
  <c r="E3986"/>
  <c r="K3985"/>
  <c r="J3985"/>
  <c r="I3985"/>
  <c r="H3985"/>
  <c r="E3985"/>
  <c r="K3984"/>
  <c r="J3984"/>
  <c r="I3984"/>
  <c r="H3984"/>
  <c r="E3984"/>
  <c r="J3983"/>
  <c r="I3983"/>
  <c r="K3983" s="1"/>
  <c r="H3983"/>
  <c r="E3983"/>
  <c r="J3982"/>
  <c r="K3982" s="1"/>
  <c r="H3982"/>
  <c r="E3982"/>
  <c r="J3981"/>
  <c r="K3981" s="1"/>
  <c r="H3981"/>
  <c r="E3981"/>
  <c r="J3980"/>
  <c r="K3980" s="1"/>
  <c r="H3980"/>
  <c r="E3980"/>
  <c r="J3979"/>
  <c r="K3979" s="1"/>
  <c r="I3979"/>
  <c r="H3979"/>
  <c r="G3979"/>
  <c r="E3979"/>
  <c r="K3978"/>
  <c r="J3978"/>
  <c r="I3978"/>
  <c r="H3978"/>
  <c r="E3978"/>
  <c r="I3977"/>
  <c r="H3977"/>
  <c r="G3977"/>
  <c r="J3977" s="1"/>
  <c r="K3977" s="1"/>
  <c r="E3977"/>
  <c r="K3976"/>
  <c r="J3976"/>
  <c r="I3976"/>
  <c r="H3976"/>
  <c r="E3976"/>
  <c r="I3975"/>
  <c r="H3975"/>
  <c r="G3975"/>
  <c r="J3975" s="1"/>
  <c r="K3975" s="1"/>
  <c r="E3975"/>
  <c r="J3974"/>
  <c r="K3974" s="1"/>
  <c r="I3974"/>
  <c r="H3974"/>
  <c r="G3974"/>
  <c r="E3974"/>
  <c r="K3973"/>
  <c r="J3973"/>
  <c r="I3973"/>
  <c r="H3973"/>
  <c r="E3973"/>
  <c r="J3972"/>
  <c r="I3972"/>
  <c r="K3972" s="1"/>
  <c r="H3972"/>
  <c r="E3972"/>
  <c r="J3971"/>
  <c r="K3971" s="1"/>
  <c r="I3971"/>
  <c r="H3971"/>
  <c r="E3971"/>
  <c r="K3970"/>
  <c r="J3970"/>
  <c r="I3970"/>
  <c r="H3970"/>
  <c r="E3970"/>
  <c r="K3969"/>
  <c r="J3969"/>
  <c r="I3969"/>
  <c r="H3969"/>
  <c r="E3969"/>
  <c r="J3968"/>
  <c r="I3968"/>
  <c r="K3968" s="1"/>
  <c r="H3968"/>
  <c r="E3968"/>
  <c r="J3967"/>
  <c r="K3967" s="1"/>
  <c r="I3967"/>
  <c r="H3967"/>
  <c r="G3967"/>
  <c r="G4001" s="1"/>
  <c r="H4001" s="1"/>
  <c r="E3967"/>
  <c r="K3966"/>
  <c r="J3966"/>
  <c r="I3966"/>
  <c r="H3966"/>
  <c r="E3966"/>
  <c r="J3965"/>
  <c r="I3965"/>
  <c r="K3965" s="1"/>
  <c r="H3965"/>
  <c r="E3965"/>
  <c r="J3964"/>
  <c r="K3964" s="1"/>
  <c r="I3964"/>
  <c r="H3964"/>
  <c r="E3964"/>
  <c r="K3963"/>
  <c r="J3963"/>
  <c r="I3963"/>
  <c r="H3963"/>
  <c r="E3963"/>
  <c r="K3962"/>
  <c r="J3962"/>
  <c r="I3962"/>
  <c r="H3962"/>
  <c r="E3962"/>
  <c r="D3952"/>
  <c r="J3951"/>
  <c r="K3951" s="1"/>
  <c r="I3951"/>
  <c r="G3951"/>
  <c r="G3952" s="1"/>
  <c r="H3952" s="1"/>
  <c r="F3951"/>
  <c r="E3951"/>
  <c r="D3951"/>
  <c r="C3951"/>
  <c r="K3950"/>
  <c r="J3950"/>
  <c r="I3950"/>
  <c r="H3950"/>
  <c r="K3949"/>
  <c r="J3949"/>
  <c r="I3949"/>
  <c r="H3949"/>
  <c r="K3948"/>
  <c r="J3948"/>
  <c r="I3948"/>
  <c r="H3948"/>
  <c r="K3947"/>
  <c r="J3947"/>
  <c r="I3947"/>
  <c r="H3947"/>
  <c r="K3946"/>
  <c r="J3946"/>
  <c r="I3946"/>
  <c r="H3946"/>
  <c r="K3945"/>
  <c r="J3945"/>
  <c r="I3945"/>
  <c r="H3945"/>
  <c r="K3944"/>
  <c r="J3944"/>
  <c r="I3944"/>
  <c r="H3944"/>
  <c r="K3943"/>
  <c r="J3943"/>
  <c r="I3943"/>
  <c r="H3943"/>
  <c r="K3942"/>
  <c r="J3942"/>
  <c r="I3942"/>
  <c r="H3942"/>
  <c r="K3941"/>
  <c r="J3941"/>
  <c r="I3941"/>
  <c r="H3941"/>
  <c r="K3940"/>
  <c r="J3940"/>
  <c r="I3940"/>
  <c r="H3940"/>
  <c r="K3939"/>
  <c r="J3939"/>
  <c r="I3939"/>
  <c r="H3939"/>
  <c r="F3937"/>
  <c r="F3952" s="1"/>
  <c r="E3937"/>
  <c r="D3937"/>
  <c r="C3937"/>
  <c r="C3952" s="1"/>
  <c r="E3952" s="1"/>
  <c r="J3936"/>
  <c r="K3936" s="1"/>
  <c r="I3936"/>
  <c r="E3936"/>
  <c r="J3935"/>
  <c r="K3935" s="1"/>
  <c r="I3935"/>
  <c r="E3935"/>
  <c r="J3934"/>
  <c r="K3934" s="1"/>
  <c r="I3934"/>
  <c r="E3934"/>
  <c r="J3933"/>
  <c r="K3933" s="1"/>
  <c r="I3933"/>
  <c r="E3933"/>
  <c r="J3932"/>
  <c r="K3932" s="1"/>
  <c r="I3932"/>
  <c r="E3932"/>
  <c r="J3931"/>
  <c r="K3931" s="1"/>
  <c r="I3931"/>
  <c r="E3931"/>
  <c r="J3930"/>
  <c r="K3930" s="1"/>
  <c r="I3930"/>
  <c r="E3930"/>
  <c r="J3929"/>
  <c r="K3929" s="1"/>
  <c r="I3929"/>
  <c r="E3929"/>
  <c r="J3928"/>
  <c r="K3928" s="1"/>
  <c r="I3928"/>
  <c r="E3928"/>
  <c r="J3927"/>
  <c r="K3927" s="1"/>
  <c r="I3927"/>
  <c r="E3927"/>
  <c r="J3926"/>
  <c r="K3926" s="1"/>
  <c r="I3926"/>
  <c r="E3926"/>
  <c r="J3925"/>
  <c r="K3925" s="1"/>
  <c r="I3925"/>
  <c r="E3925"/>
  <c r="J3924"/>
  <c r="K3924" s="1"/>
  <c r="I3924"/>
  <c r="E3924"/>
  <c r="J3923"/>
  <c r="K3923" s="1"/>
  <c r="I3923"/>
  <c r="E3923"/>
  <c r="J3922"/>
  <c r="K3922" s="1"/>
  <c r="I3922"/>
  <c r="E3922"/>
  <c r="J3921"/>
  <c r="K3921" s="1"/>
  <c r="I3921"/>
  <c r="E3921"/>
  <c r="J3920"/>
  <c r="K3920" s="1"/>
  <c r="I3920"/>
  <c r="E3920"/>
  <c r="J3919"/>
  <c r="K3919" s="1"/>
  <c r="I3919"/>
  <c r="E3919"/>
  <c r="J3918"/>
  <c r="K3918" s="1"/>
  <c r="I3918"/>
  <c r="E3918"/>
  <c r="J3917"/>
  <c r="K3917" s="1"/>
  <c r="I3917"/>
  <c r="E3917"/>
  <c r="J3916"/>
  <c r="K3916" s="1"/>
  <c r="I3916"/>
  <c r="E3916"/>
  <c r="J3915"/>
  <c r="K3915" s="1"/>
  <c r="I3915"/>
  <c r="E3915"/>
  <c r="J3914"/>
  <c r="K3914" s="1"/>
  <c r="I3914"/>
  <c r="E3914"/>
  <c r="J3913"/>
  <c r="K3913" s="1"/>
  <c r="I3913"/>
  <c r="E3913"/>
  <c r="J3912"/>
  <c r="K3912" s="1"/>
  <c r="I3912"/>
  <c r="E3912"/>
  <c r="J3911"/>
  <c r="K3911" s="1"/>
  <c r="I3911"/>
  <c r="E3911"/>
  <c r="J3910"/>
  <c r="K3910" s="1"/>
  <c r="I3910"/>
  <c r="E3910"/>
  <c r="J3909"/>
  <c r="K3909" s="1"/>
  <c r="I3909"/>
  <c r="E3909"/>
  <c r="J3908"/>
  <c r="K3908" s="1"/>
  <c r="I3908"/>
  <c r="E3908"/>
  <c r="J3907"/>
  <c r="K3907" s="1"/>
  <c r="I3907"/>
  <c r="E3907"/>
  <c r="J3906"/>
  <c r="K3906" s="1"/>
  <c r="I3906"/>
  <c r="E3906"/>
  <c r="J3905"/>
  <c r="K3905" s="1"/>
  <c r="I3905"/>
  <c r="E3905"/>
  <c r="J3904"/>
  <c r="K3904" s="1"/>
  <c r="I3904"/>
  <c r="E3904"/>
  <c r="J3903"/>
  <c r="K3903" s="1"/>
  <c r="I3903"/>
  <c r="E3903"/>
  <c r="J3902"/>
  <c r="K3902" s="1"/>
  <c r="I3902"/>
  <c r="E3902"/>
  <c r="J3901"/>
  <c r="K3901" s="1"/>
  <c r="I3901"/>
  <c r="E3901"/>
  <c r="J3900"/>
  <c r="K3900" s="1"/>
  <c r="I3900"/>
  <c r="E3900"/>
  <c r="J3899"/>
  <c r="K3899" s="1"/>
  <c r="I3899"/>
  <c r="E3899"/>
  <c r="J3898"/>
  <c r="K3898" s="1"/>
  <c r="I3898"/>
  <c r="E3898"/>
  <c r="J3897"/>
  <c r="K3897" s="1"/>
  <c r="I3897"/>
  <c r="E3897"/>
  <c r="J3896"/>
  <c r="K3896" s="1"/>
  <c r="I3896"/>
  <c r="E3896"/>
  <c r="J3895"/>
  <c r="K3895" s="1"/>
  <c r="I3895"/>
  <c r="E3895"/>
  <c r="J3894"/>
  <c r="K3894" s="1"/>
  <c r="I3894"/>
  <c r="E3894"/>
  <c r="J3893"/>
  <c r="K3893" s="1"/>
  <c r="I3893"/>
  <c r="E3893"/>
  <c r="J3892"/>
  <c r="K3892" s="1"/>
  <c r="I3892"/>
  <c r="E3892"/>
  <c r="J3891"/>
  <c r="K3891" s="1"/>
  <c r="I3891"/>
  <c r="E3891"/>
  <c r="J3890"/>
  <c r="K3890" s="1"/>
  <c r="I3890"/>
  <c r="E3890"/>
  <c r="J3889"/>
  <c r="K3889" s="1"/>
  <c r="I3889"/>
  <c r="E3889"/>
  <c r="J3888"/>
  <c r="K3888" s="1"/>
  <c r="I3888"/>
  <c r="E3888"/>
  <c r="J3887"/>
  <c r="K3887" s="1"/>
  <c r="I3887"/>
  <c r="E3887"/>
  <c r="J3886"/>
  <c r="K3886" s="1"/>
  <c r="I3886"/>
  <c r="E3886"/>
  <c r="J3885"/>
  <c r="K3885" s="1"/>
  <c r="I3885"/>
  <c r="E3885"/>
  <c r="J3884"/>
  <c r="K3884" s="1"/>
  <c r="I3884"/>
  <c r="E3884"/>
  <c r="J3883"/>
  <c r="K3883" s="1"/>
  <c r="I3883"/>
  <c r="E3883"/>
  <c r="J3882"/>
  <c r="K3882" s="1"/>
  <c r="I3882"/>
  <c r="E3882"/>
  <c r="J3881"/>
  <c r="K3881" s="1"/>
  <c r="I3881"/>
  <c r="G3881"/>
  <c r="E3881"/>
  <c r="K3880"/>
  <c r="J3880"/>
  <c r="I3880"/>
  <c r="G3880"/>
  <c r="E3880"/>
  <c r="K3879"/>
  <c r="J3879"/>
  <c r="I3879"/>
  <c r="E3879"/>
  <c r="K3878"/>
  <c r="J3878"/>
  <c r="I3878"/>
  <c r="E3878"/>
  <c r="K3877"/>
  <c r="J3877"/>
  <c r="I3877"/>
  <c r="E3877"/>
  <c r="K3876"/>
  <c r="J3876"/>
  <c r="I3876"/>
  <c r="E3876"/>
  <c r="K3875"/>
  <c r="J3875"/>
  <c r="I3875"/>
  <c r="E3875"/>
  <c r="K3874"/>
  <c r="J3874"/>
  <c r="I3874"/>
  <c r="E3874"/>
  <c r="K3873"/>
  <c r="J3873"/>
  <c r="I3873"/>
  <c r="E3873"/>
  <c r="K3872"/>
  <c r="J3872"/>
  <c r="I3872"/>
  <c r="E3872"/>
  <c r="K3871"/>
  <c r="J3871"/>
  <c r="I3871"/>
  <c r="E3871"/>
  <c r="K3870"/>
  <c r="J3870"/>
  <c r="I3870"/>
  <c r="E3870"/>
  <c r="I3869"/>
  <c r="G3869"/>
  <c r="J3869" s="1"/>
  <c r="E3869"/>
  <c r="J3868"/>
  <c r="K3868" s="1"/>
  <c r="I3868"/>
  <c r="E3868"/>
  <c r="J3867"/>
  <c r="K3867" s="1"/>
  <c r="I3867"/>
  <c r="E3867"/>
  <c r="J3866"/>
  <c r="K3866" s="1"/>
  <c r="I3866"/>
  <c r="E3866"/>
  <c r="J3865"/>
  <c r="K3865" s="1"/>
  <c r="I3865"/>
  <c r="E3865"/>
  <c r="J3864"/>
  <c r="K3864" s="1"/>
  <c r="I3864"/>
  <c r="E3864"/>
  <c r="J3863"/>
  <c r="K3863" s="1"/>
  <c r="I3863"/>
  <c r="E3863"/>
  <c r="J3862"/>
  <c r="K3862" s="1"/>
  <c r="I3862"/>
  <c r="E3862"/>
  <c r="J3861"/>
  <c r="K3861" s="1"/>
  <c r="I3861"/>
  <c r="E3861"/>
  <c r="J3860"/>
  <c r="K3860" s="1"/>
  <c r="I3860"/>
  <c r="E3860"/>
  <c r="J3859"/>
  <c r="K3859" s="1"/>
  <c r="I3859"/>
  <c r="E3859"/>
  <c r="J3858"/>
  <c r="K3858" s="1"/>
  <c r="E3858"/>
  <c r="K3857"/>
  <c r="J3857"/>
  <c r="I3857"/>
  <c r="E3857"/>
  <c r="K3856"/>
  <c r="J3856"/>
  <c r="I3856"/>
  <c r="E3856"/>
  <c r="K3855"/>
  <c r="J3855"/>
  <c r="I3855"/>
  <c r="E3855"/>
  <c r="K3854"/>
  <c r="J3854"/>
  <c r="I3854"/>
  <c r="E3854"/>
  <c r="K3853"/>
  <c r="J3853"/>
  <c r="I3853"/>
  <c r="E3853"/>
  <c r="K3852"/>
  <c r="J3852"/>
  <c r="I3852"/>
  <c r="E3852"/>
  <c r="K3851"/>
  <c r="J3851"/>
  <c r="I3851"/>
  <c r="E3851"/>
  <c r="K3850"/>
  <c r="J3850"/>
  <c r="I3850"/>
  <c r="E3850"/>
  <c r="K3849"/>
  <c r="J3849"/>
  <c r="I3849"/>
  <c r="E3849"/>
  <c r="K3848"/>
  <c r="J3848"/>
  <c r="I3848"/>
  <c r="E3848"/>
  <c r="K3847"/>
  <c r="J3847"/>
  <c r="I3847"/>
  <c r="E3847"/>
  <c r="K3846"/>
  <c r="J3846"/>
  <c r="I3846"/>
  <c r="E3846"/>
  <c r="K3845"/>
  <c r="J3845"/>
  <c r="I3845"/>
  <c r="E3845"/>
  <c r="K3844"/>
  <c r="J3844"/>
  <c r="I3844"/>
  <c r="E3844"/>
  <c r="K3843"/>
  <c r="J3843"/>
  <c r="I3843"/>
  <c r="E3843"/>
  <c r="K3842"/>
  <c r="J3842"/>
  <c r="I3842"/>
  <c r="E3842"/>
  <c r="K3841"/>
  <c r="J3841"/>
  <c r="I3841"/>
  <c r="E3841"/>
  <c r="K3840"/>
  <c r="J3840"/>
  <c r="I3840"/>
  <c r="I3937" s="1"/>
  <c r="I3952" s="1"/>
  <c r="H3840"/>
  <c r="E3840"/>
  <c r="G3830"/>
  <c r="H3830" s="1"/>
  <c r="F3830"/>
  <c r="C3830"/>
  <c r="J3829"/>
  <c r="K3829" s="1"/>
  <c r="I3829"/>
  <c r="H3829"/>
  <c r="J3828"/>
  <c r="K3828" s="1"/>
  <c r="I3828"/>
  <c r="H3828"/>
  <c r="J3827"/>
  <c r="K3827" s="1"/>
  <c r="I3827"/>
  <c r="H3827"/>
  <c r="J3826"/>
  <c r="K3826" s="1"/>
  <c r="I3826"/>
  <c r="H3826"/>
  <c r="J3825"/>
  <c r="K3825" s="1"/>
  <c r="I3825"/>
  <c r="H3825"/>
  <c r="J3824"/>
  <c r="K3824" s="1"/>
  <c r="I3824"/>
  <c r="H3824"/>
  <c r="J3823"/>
  <c r="K3823" s="1"/>
  <c r="I3823"/>
  <c r="H3823"/>
  <c r="J3822"/>
  <c r="K3822" s="1"/>
  <c r="I3822"/>
  <c r="H3822"/>
  <c r="J3821"/>
  <c r="K3821" s="1"/>
  <c r="I3821"/>
  <c r="H3821"/>
  <c r="J3820"/>
  <c r="K3820" s="1"/>
  <c r="I3820"/>
  <c r="H3820"/>
  <c r="J3819"/>
  <c r="K3819" s="1"/>
  <c r="I3819"/>
  <c r="H3819"/>
  <c r="J3818"/>
  <c r="K3818" s="1"/>
  <c r="I3818"/>
  <c r="H3818"/>
  <c r="J3817"/>
  <c r="K3817" s="1"/>
  <c r="I3817"/>
  <c r="H3817"/>
  <c r="J3816"/>
  <c r="K3816" s="1"/>
  <c r="I3816"/>
  <c r="H3816"/>
  <c r="J3815"/>
  <c r="K3815" s="1"/>
  <c r="I3815"/>
  <c r="H3815"/>
  <c r="J3814"/>
  <c r="K3814" s="1"/>
  <c r="I3814"/>
  <c r="H3814"/>
  <c r="J3813"/>
  <c r="K3813" s="1"/>
  <c r="I3813"/>
  <c r="H3813"/>
  <c r="J3812"/>
  <c r="K3812" s="1"/>
  <c r="I3812"/>
  <c r="H3812"/>
  <c r="J3811"/>
  <c r="K3811" s="1"/>
  <c r="I3811"/>
  <c r="H3811"/>
  <c r="J3810"/>
  <c r="K3810" s="1"/>
  <c r="I3810"/>
  <c r="H3810"/>
  <c r="J3809"/>
  <c r="K3809" s="1"/>
  <c r="I3809"/>
  <c r="H3809"/>
  <c r="J3808"/>
  <c r="K3808" s="1"/>
  <c r="I3808"/>
  <c r="H3808"/>
  <c r="J3807"/>
  <c r="K3807" s="1"/>
  <c r="I3807"/>
  <c r="H3807"/>
  <c r="J3806"/>
  <c r="K3806" s="1"/>
  <c r="I3806"/>
  <c r="H3806"/>
  <c r="J3805"/>
  <c r="K3805" s="1"/>
  <c r="I3805"/>
  <c r="H3805"/>
  <c r="J3804"/>
  <c r="K3804" s="1"/>
  <c r="I3804"/>
  <c r="H3804"/>
  <c r="J3803"/>
  <c r="K3803" s="1"/>
  <c r="I3803"/>
  <c r="H3803"/>
  <c r="J3802"/>
  <c r="K3802" s="1"/>
  <c r="I3802"/>
  <c r="H3802"/>
  <c r="J3801"/>
  <c r="K3801" s="1"/>
  <c r="I3801"/>
  <c r="H3801"/>
  <c r="J3800"/>
  <c r="K3800" s="1"/>
  <c r="I3800"/>
  <c r="H3800"/>
  <c r="J3799"/>
  <c r="K3799" s="1"/>
  <c r="I3799"/>
  <c r="H3799"/>
  <c r="J3798"/>
  <c r="K3798" s="1"/>
  <c r="I3798"/>
  <c r="H3798"/>
  <c r="J3797"/>
  <c r="K3797" s="1"/>
  <c r="I3797"/>
  <c r="H3797"/>
  <c r="J3796"/>
  <c r="K3796" s="1"/>
  <c r="I3796"/>
  <c r="H3796"/>
  <c r="J3795"/>
  <c r="K3795" s="1"/>
  <c r="I3795"/>
  <c r="H3795"/>
  <c r="J3794"/>
  <c r="K3794" s="1"/>
  <c r="I3794"/>
  <c r="H3794"/>
  <c r="J3793"/>
  <c r="K3793" s="1"/>
  <c r="I3793"/>
  <c r="H3793"/>
  <c r="J3792"/>
  <c r="K3792" s="1"/>
  <c r="I3792"/>
  <c r="H3792"/>
  <c r="J3791"/>
  <c r="K3791" s="1"/>
  <c r="I3791"/>
  <c r="H3791"/>
  <c r="J3790"/>
  <c r="K3790" s="1"/>
  <c r="I3790"/>
  <c r="H3790"/>
  <c r="J3789"/>
  <c r="K3789" s="1"/>
  <c r="I3789"/>
  <c r="H3789"/>
  <c r="J3788"/>
  <c r="K3788" s="1"/>
  <c r="I3788"/>
  <c r="H3788"/>
  <c r="J3787"/>
  <c r="K3787" s="1"/>
  <c r="I3787"/>
  <c r="H3787"/>
  <c r="J3786"/>
  <c r="K3786" s="1"/>
  <c r="I3786"/>
  <c r="H3786"/>
  <c r="J3785"/>
  <c r="K3785" s="1"/>
  <c r="I3785"/>
  <c r="H3785"/>
  <c r="J3784"/>
  <c r="K3784" s="1"/>
  <c r="I3784"/>
  <c r="H3784"/>
  <c r="J3783"/>
  <c r="K3783" s="1"/>
  <c r="I3783"/>
  <c r="H3783"/>
  <c r="J3782"/>
  <c r="K3782" s="1"/>
  <c r="I3782"/>
  <c r="H3782"/>
  <c r="J3781"/>
  <c r="K3781" s="1"/>
  <c r="I3781"/>
  <c r="H3781"/>
  <c r="J3780"/>
  <c r="K3780" s="1"/>
  <c r="I3780"/>
  <c r="H3780"/>
  <c r="J3779"/>
  <c r="K3779" s="1"/>
  <c r="I3779"/>
  <c r="H3779"/>
  <c r="J3778"/>
  <c r="K3778" s="1"/>
  <c r="I3778"/>
  <c r="H3778"/>
  <c r="J3777"/>
  <c r="K3777" s="1"/>
  <c r="I3777"/>
  <c r="H3777"/>
  <c r="J3776"/>
  <c r="K3776" s="1"/>
  <c r="I3776"/>
  <c r="H3776"/>
  <c r="J3775"/>
  <c r="K3775" s="1"/>
  <c r="I3775"/>
  <c r="H3775"/>
  <c r="J3774"/>
  <c r="K3774" s="1"/>
  <c r="I3774"/>
  <c r="H3774"/>
  <c r="J3773"/>
  <c r="K3773" s="1"/>
  <c r="I3773"/>
  <c r="H3773"/>
  <c r="J3772"/>
  <c r="K3772" s="1"/>
  <c r="I3772"/>
  <c r="H3772"/>
  <c r="J3771"/>
  <c r="K3771" s="1"/>
  <c r="I3771"/>
  <c r="H3771"/>
  <c r="J3770"/>
  <c r="K3770" s="1"/>
  <c r="I3770"/>
  <c r="H3770"/>
  <c r="J3769"/>
  <c r="K3769" s="1"/>
  <c r="I3769"/>
  <c r="I3830" s="1"/>
  <c r="H3769"/>
  <c r="I3757"/>
  <c r="H3757"/>
  <c r="G3757"/>
  <c r="F3757"/>
  <c r="E3757"/>
  <c r="D3757"/>
  <c r="C3757"/>
  <c r="J3756"/>
  <c r="K3756" s="1"/>
  <c r="I3756"/>
  <c r="H3756"/>
  <c r="J3755"/>
  <c r="K3755" s="1"/>
  <c r="I3755"/>
  <c r="H3755"/>
  <c r="J3754"/>
  <c r="K3754" s="1"/>
  <c r="I3754"/>
  <c r="H3754"/>
  <c r="J3753"/>
  <c r="K3753" s="1"/>
  <c r="I3753"/>
  <c r="H3753"/>
  <c r="J3752"/>
  <c r="K3752" s="1"/>
  <c r="I3752"/>
  <c r="H3752"/>
  <c r="J3751"/>
  <c r="K3751" s="1"/>
  <c r="I3751"/>
  <c r="H3751"/>
  <c r="J3750"/>
  <c r="K3750" s="1"/>
  <c r="I3750"/>
  <c r="H3750"/>
  <c r="J3749"/>
  <c r="K3749" s="1"/>
  <c r="I3749"/>
  <c r="H3749"/>
  <c r="J3748"/>
  <c r="K3748" s="1"/>
  <c r="I3748"/>
  <c r="H3748"/>
  <c r="J3747"/>
  <c r="K3747" s="1"/>
  <c r="I3747"/>
  <c r="H3747"/>
  <c r="J3746"/>
  <c r="K3746" s="1"/>
  <c r="I3746"/>
  <c r="H3746"/>
  <c r="J3745"/>
  <c r="K3745" s="1"/>
  <c r="I3745"/>
  <c r="H3745"/>
  <c r="J3744"/>
  <c r="K3744" s="1"/>
  <c r="I3744"/>
  <c r="H3744"/>
  <c r="J3743"/>
  <c r="K3743" s="1"/>
  <c r="I3743"/>
  <c r="H3743"/>
  <c r="J3742"/>
  <c r="K3742" s="1"/>
  <c r="I3742"/>
  <c r="H3742"/>
  <c r="J3741"/>
  <c r="K3741" s="1"/>
  <c r="I3741"/>
  <c r="H3741"/>
  <c r="J3740"/>
  <c r="K3740" s="1"/>
  <c r="I3740"/>
  <c r="H3740"/>
  <c r="J3739"/>
  <c r="K3739" s="1"/>
  <c r="I3739"/>
  <c r="H3739"/>
  <c r="J3738"/>
  <c r="K3738" s="1"/>
  <c r="I3738"/>
  <c r="H3738"/>
  <c r="J3737"/>
  <c r="K3737" s="1"/>
  <c r="I3737"/>
  <c r="H3737"/>
  <c r="J3736"/>
  <c r="K3736" s="1"/>
  <c r="I3736"/>
  <c r="H3736"/>
  <c r="J3735"/>
  <c r="K3735" s="1"/>
  <c r="I3735"/>
  <c r="H3735"/>
  <c r="J3734"/>
  <c r="K3734" s="1"/>
  <c r="I3734"/>
  <c r="H3734"/>
  <c r="J3733"/>
  <c r="K3733" s="1"/>
  <c r="I3733"/>
  <c r="H3733"/>
  <c r="J3732"/>
  <c r="K3732" s="1"/>
  <c r="I3732"/>
  <c r="H3732"/>
  <c r="J3731"/>
  <c r="K3731" s="1"/>
  <c r="I3731"/>
  <c r="H3731"/>
  <c r="J3730"/>
  <c r="K3730" s="1"/>
  <c r="I3730"/>
  <c r="H3730"/>
  <c r="J3729"/>
  <c r="K3729" s="1"/>
  <c r="I3729"/>
  <c r="H3729"/>
  <c r="J3728"/>
  <c r="K3728" s="1"/>
  <c r="I3728"/>
  <c r="H3728"/>
  <c r="J3727"/>
  <c r="K3727" s="1"/>
  <c r="I3727"/>
  <c r="H3727"/>
  <c r="J3726"/>
  <c r="K3726" s="1"/>
  <c r="I3726"/>
  <c r="H3726"/>
  <c r="J3725"/>
  <c r="K3725" s="1"/>
  <c r="I3725"/>
  <c r="H3725"/>
  <c r="J3724"/>
  <c r="K3724" s="1"/>
  <c r="H3724"/>
  <c r="J3723"/>
  <c r="K3723" s="1"/>
  <c r="I3723"/>
  <c r="H3723"/>
  <c r="J3722"/>
  <c r="K3722" s="1"/>
  <c r="I3722"/>
  <c r="H3722"/>
  <c r="J3721"/>
  <c r="K3721" s="1"/>
  <c r="I3721"/>
  <c r="H3721"/>
  <c r="G3719"/>
  <c r="G3758" s="1"/>
  <c r="F3719"/>
  <c r="F3758" s="1"/>
  <c r="F3759" s="1"/>
  <c r="D3719"/>
  <c r="J3719" s="1"/>
  <c r="K3719" s="1"/>
  <c r="C3719"/>
  <c r="C3758" s="1"/>
  <c r="J3718"/>
  <c r="K3718" s="1"/>
  <c r="I3718"/>
  <c r="E3718"/>
  <c r="J3717"/>
  <c r="K3717" s="1"/>
  <c r="I3717"/>
  <c r="E3717"/>
  <c r="J3716"/>
  <c r="K3716" s="1"/>
  <c r="I3716"/>
  <c r="E3716"/>
  <c r="J3715"/>
  <c r="K3715" s="1"/>
  <c r="I3715"/>
  <c r="E3715"/>
  <c r="J3714"/>
  <c r="K3714" s="1"/>
  <c r="E3714"/>
  <c r="K3713"/>
  <c r="J3713"/>
  <c r="E3713"/>
  <c r="K3712"/>
  <c r="J3712"/>
  <c r="I3712"/>
  <c r="E3712"/>
  <c r="K3711"/>
  <c r="J3711"/>
  <c r="I3711"/>
  <c r="E3711"/>
  <c r="K3710"/>
  <c r="J3710"/>
  <c r="I3710"/>
  <c r="E3710"/>
  <c r="K3709"/>
  <c r="J3709"/>
  <c r="I3709"/>
  <c r="E3709"/>
  <c r="K3708"/>
  <c r="J3708"/>
  <c r="I3708"/>
  <c r="E3708"/>
  <c r="K3707"/>
  <c r="J3707"/>
  <c r="I3707"/>
  <c r="E3707"/>
  <c r="K3706"/>
  <c r="J3706"/>
  <c r="I3706"/>
  <c r="E3706"/>
  <c r="K3705"/>
  <c r="J3705"/>
  <c r="I3705"/>
  <c r="E3705"/>
  <c r="K3704"/>
  <c r="J3704"/>
  <c r="I3704"/>
  <c r="E3704"/>
  <c r="K3703"/>
  <c r="J3703"/>
  <c r="I3703"/>
  <c r="E3703"/>
  <c r="K3702"/>
  <c r="J3702"/>
  <c r="I3702"/>
  <c r="E3702"/>
  <c r="K3701"/>
  <c r="J3701"/>
  <c r="I3701"/>
  <c r="E3701"/>
  <c r="K3700"/>
  <c r="J3700"/>
  <c r="I3700"/>
  <c r="E3700"/>
  <c r="K3699"/>
  <c r="J3699"/>
  <c r="I3699"/>
  <c r="E3699"/>
  <c r="K3698"/>
  <c r="J3698"/>
  <c r="I3698"/>
  <c r="E3698"/>
  <c r="K3697"/>
  <c r="J3697"/>
  <c r="E3697"/>
  <c r="J3696"/>
  <c r="K3696" s="1"/>
  <c r="I3696"/>
  <c r="E3696"/>
  <c r="J3695"/>
  <c r="K3695" s="1"/>
  <c r="I3695"/>
  <c r="E3695"/>
  <c r="J3694"/>
  <c r="K3694" s="1"/>
  <c r="I3694"/>
  <c r="E3694"/>
  <c r="J3693"/>
  <c r="K3693" s="1"/>
  <c r="I3693"/>
  <c r="E3693"/>
  <c r="J3692"/>
  <c r="K3692" s="1"/>
  <c r="I3692"/>
  <c r="E3692"/>
  <c r="J3691"/>
  <c r="K3691" s="1"/>
  <c r="I3691"/>
  <c r="E3691"/>
  <c r="J3690"/>
  <c r="K3690" s="1"/>
  <c r="I3690"/>
  <c r="E3690"/>
  <c r="J3689"/>
  <c r="K3689" s="1"/>
  <c r="I3689"/>
  <c r="E3689"/>
  <c r="J3688"/>
  <c r="K3688" s="1"/>
  <c r="I3688"/>
  <c r="E3688"/>
  <c r="J3687"/>
  <c r="K3687" s="1"/>
  <c r="I3687"/>
  <c r="E3687"/>
  <c r="J3686"/>
  <c r="K3686" s="1"/>
  <c r="I3686"/>
  <c r="E3686"/>
  <c r="J3685"/>
  <c r="K3685" s="1"/>
  <c r="I3685"/>
  <c r="E3685"/>
  <c r="J3684"/>
  <c r="K3684" s="1"/>
  <c r="I3684"/>
  <c r="E3684"/>
  <c r="J3683"/>
  <c r="K3683" s="1"/>
  <c r="I3683"/>
  <c r="E3683"/>
  <c r="J3682"/>
  <c r="K3682" s="1"/>
  <c r="E3682"/>
  <c r="J3681"/>
  <c r="K3681" s="1"/>
  <c r="I3681"/>
  <c r="E3681"/>
  <c r="J3680"/>
  <c r="K3680" s="1"/>
  <c r="I3680"/>
  <c r="I3719" s="1"/>
  <c r="E3680"/>
  <c r="F3668"/>
  <c r="G3667"/>
  <c r="F3667"/>
  <c r="H3667" s="1"/>
  <c r="D3667"/>
  <c r="C3667"/>
  <c r="C3670" s="1"/>
  <c r="J3666"/>
  <c r="K3666" s="1"/>
  <c r="I3666"/>
  <c r="H3666"/>
  <c r="J3665"/>
  <c r="K3665" s="1"/>
  <c r="I3665"/>
  <c r="H3665"/>
  <c r="J3664"/>
  <c r="K3664" s="1"/>
  <c r="I3664"/>
  <c r="H3664"/>
  <c r="J3663"/>
  <c r="K3663" s="1"/>
  <c r="I3663"/>
  <c r="H3663"/>
  <c r="J3662"/>
  <c r="K3662" s="1"/>
  <c r="I3662"/>
  <c r="H3662"/>
  <c r="J3661"/>
  <c r="K3661" s="1"/>
  <c r="I3661"/>
  <c r="H3661"/>
  <c r="J3660"/>
  <c r="K3660" s="1"/>
  <c r="I3660"/>
  <c r="H3660"/>
  <c r="J3659"/>
  <c r="K3659" s="1"/>
  <c r="I3659"/>
  <c r="H3659"/>
  <c r="J3658"/>
  <c r="K3658" s="1"/>
  <c r="I3658"/>
  <c r="H3658"/>
  <c r="J3657"/>
  <c r="K3657" s="1"/>
  <c r="I3657"/>
  <c r="H3657"/>
  <c r="J3656"/>
  <c r="K3656" s="1"/>
  <c r="I3656"/>
  <c r="H3656"/>
  <c r="J3655"/>
  <c r="K3655" s="1"/>
  <c r="I3655"/>
  <c r="H3655"/>
  <c r="J3654"/>
  <c r="K3654" s="1"/>
  <c r="I3654"/>
  <c r="H3654"/>
  <c r="J3653"/>
  <c r="K3653" s="1"/>
  <c r="I3653"/>
  <c r="H3653"/>
  <c r="J3652"/>
  <c r="K3652" s="1"/>
  <c r="I3652"/>
  <c r="H3652"/>
  <c r="J3651"/>
  <c r="K3651" s="1"/>
  <c r="I3651"/>
  <c r="H3651"/>
  <c r="J3650"/>
  <c r="K3650" s="1"/>
  <c r="I3650"/>
  <c r="H3650"/>
  <c r="J3649"/>
  <c r="K3649" s="1"/>
  <c r="I3649"/>
  <c r="H3649"/>
  <c r="J3648"/>
  <c r="K3648" s="1"/>
  <c r="H3648"/>
  <c r="J3647"/>
  <c r="I3647"/>
  <c r="K3647" s="1"/>
  <c r="H3647"/>
  <c r="J3646"/>
  <c r="I3646"/>
  <c r="K3646" s="1"/>
  <c r="H3646"/>
  <c r="J3645"/>
  <c r="I3645"/>
  <c r="K3645" s="1"/>
  <c r="H3645"/>
  <c r="J3644"/>
  <c r="I3644"/>
  <c r="K3644" s="1"/>
  <c r="H3644"/>
  <c r="J3643"/>
  <c r="I3643"/>
  <c r="K3643" s="1"/>
  <c r="H3643"/>
  <c r="J3642"/>
  <c r="I3642"/>
  <c r="K3642" s="1"/>
  <c r="H3642"/>
  <c r="J3641"/>
  <c r="I3641"/>
  <c r="K3641" s="1"/>
  <c r="H3641"/>
  <c r="J3640"/>
  <c r="I3640"/>
  <c r="K3640" s="1"/>
  <c r="H3640"/>
  <c r="J3639"/>
  <c r="I3639"/>
  <c r="K3639" s="1"/>
  <c r="H3639"/>
  <c r="J3638"/>
  <c r="I3638"/>
  <c r="K3638" s="1"/>
  <c r="H3638"/>
  <c r="J3637"/>
  <c r="I3637"/>
  <c r="K3637" s="1"/>
  <c r="H3637"/>
  <c r="J3636"/>
  <c r="I3636"/>
  <c r="K3636" s="1"/>
  <c r="H3636"/>
  <c r="J3635"/>
  <c r="I3635"/>
  <c r="K3635" s="1"/>
  <c r="H3635"/>
  <c r="J3634"/>
  <c r="I3634"/>
  <c r="K3634" s="1"/>
  <c r="H3634"/>
  <c r="J3633"/>
  <c r="I3633"/>
  <c r="K3633" s="1"/>
  <c r="H3633"/>
  <c r="J3632"/>
  <c r="I3632"/>
  <c r="K3632" s="1"/>
  <c r="H3632"/>
  <c r="J3631"/>
  <c r="I3631"/>
  <c r="K3631" s="1"/>
  <c r="H3631"/>
  <c r="J3630"/>
  <c r="I3630"/>
  <c r="K3630" s="1"/>
  <c r="H3630"/>
  <c r="J3629"/>
  <c r="I3629"/>
  <c r="K3629" s="1"/>
  <c r="H3629"/>
  <c r="J3628"/>
  <c r="I3628"/>
  <c r="K3628" s="1"/>
  <c r="H3628"/>
  <c r="J3627"/>
  <c r="I3627"/>
  <c r="K3627" s="1"/>
  <c r="H3627"/>
  <c r="J3626"/>
  <c r="I3626"/>
  <c r="K3626" s="1"/>
  <c r="H3626"/>
  <c r="J3625"/>
  <c r="I3625"/>
  <c r="K3625" s="1"/>
  <c r="H3625"/>
  <c r="J3624"/>
  <c r="I3624"/>
  <c r="K3624" s="1"/>
  <c r="H3624"/>
  <c r="J3623"/>
  <c r="I3623"/>
  <c r="K3623" s="1"/>
  <c r="H3623"/>
  <c r="J3622"/>
  <c r="I3622"/>
  <c r="K3622" s="1"/>
  <c r="H3622"/>
  <c r="J3621"/>
  <c r="I3621"/>
  <c r="K3621" s="1"/>
  <c r="H3621"/>
  <c r="J3620"/>
  <c r="I3620"/>
  <c r="K3620" s="1"/>
  <c r="H3620"/>
  <c r="J3619"/>
  <c r="I3619"/>
  <c r="K3619" s="1"/>
  <c r="H3619"/>
  <c r="J3618"/>
  <c r="I3618"/>
  <c r="K3618" s="1"/>
  <c r="H3618"/>
  <c r="J3617"/>
  <c r="I3617"/>
  <c r="K3617" s="1"/>
  <c r="H3617"/>
  <c r="J3616"/>
  <c r="I3616"/>
  <c r="K3616" s="1"/>
  <c r="H3616"/>
  <c r="J3615"/>
  <c r="I3615"/>
  <c r="K3615" s="1"/>
  <c r="H3615"/>
  <c r="J3614"/>
  <c r="I3614"/>
  <c r="K3614" s="1"/>
  <c r="H3614"/>
  <c r="J3613"/>
  <c r="I3613"/>
  <c r="K3613" s="1"/>
  <c r="H3613"/>
  <c r="F3611"/>
  <c r="C3611"/>
  <c r="C3668" s="1"/>
  <c r="J3610"/>
  <c r="K3610" s="1"/>
  <c r="I3610"/>
  <c r="H3610"/>
  <c r="E3610"/>
  <c r="K3609"/>
  <c r="J3609"/>
  <c r="I3609"/>
  <c r="H3609"/>
  <c r="E3609"/>
  <c r="K3608"/>
  <c r="J3608"/>
  <c r="I3608"/>
  <c r="H3608"/>
  <c r="E3608"/>
  <c r="J3607"/>
  <c r="I3607"/>
  <c r="K3607" s="1"/>
  <c r="H3607"/>
  <c r="E3607"/>
  <c r="J3606"/>
  <c r="K3606" s="1"/>
  <c r="I3606"/>
  <c r="H3606"/>
  <c r="G3606"/>
  <c r="E3606"/>
  <c r="K3605"/>
  <c r="J3605"/>
  <c r="I3605"/>
  <c r="H3605"/>
  <c r="E3605"/>
  <c r="J3604"/>
  <c r="I3604"/>
  <c r="K3604" s="1"/>
  <c r="H3604"/>
  <c r="E3604"/>
  <c r="J3603"/>
  <c r="K3603" s="1"/>
  <c r="I3603"/>
  <c r="H3603"/>
  <c r="E3603"/>
  <c r="I3602"/>
  <c r="G3602"/>
  <c r="H3602" s="1"/>
  <c r="E3602"/>
  <c r="J3601"/>
  <c r="I3601"/>
  <c r="K3601" s="1"/>
  <c r="H3601"/>
  <c r="E3601"/>
  <c r="J3600"/>
  <c r="K3600" s="1"/>
  <c r="I3600"/>
  <c r="H3600"/>
  <c r="E3600"/>
  <c r="I3599"/>
  <c r="G3599"/>
  <c r="J3599" s="1"/>
  <c r="K3599" s="1"/>
  <c r="E3599"/>
  <c r="J3598"/>
  <c r="I3598"/>
  <c r="K3598" s="1"/>
  <c r="H3598"/>
  <c r="E3598"/>
  <c r="J3597"/>
  <c r="K3597" s="1"/>
  <c r="I3597"/>
  <c r="H3597"/>
  <c r="E3597"/>
  <c r="K3596"/>
  <c r="J3596"/>
  <c r="H3596"/>
  <c r="E3596"/>
  <c r="K3595"/>
  <c r="J3595"/>
  <c r="I3595"/>
  <c r="H3595"/>
  <c r="E3595"/>
  <c r="K3594"/>
  <c r="J3594"/>
  <c r="I3594"/>
  <c r="H3594"/>
  <c r="E3594"/>
  <c r="J3593"/>
  <c r="I3593"/>
  <c r="K3593" s="1"/>
  <c r="H3593"/>
  <c r="E3593"/>
  <c r="J3592"/>
  <c r="K3592" s="1"/>
  <c r="I3592"/>
  <c r="H3592"/>
  <c r="E3592"/>
  <c r="K3591"/>
  <c r="J3591"/>
  <c r="I3591"/>
  <c r="H3591"/>
  <c r="E3591"/>
  <c r="K3590"/>
  <c r="J3590"/>
  <c r="I3590"/>
  <c r="H3590"/>
  <c r="E3590"/>
  <c r="I3589"/>
  <c r="H3589"/>
  <c r="G3589"/>
  <c r="J3589" s="1"/>
  <c r="K3589" s="1"/>
  <c r="E3589"/>
  <c r="K3588"/>
  <c r="J3588"/>
  <c r="I3588"/>
  <c r="H3588"/>
  <c r="E3588"/>
  <c r="K3587"/>
  <c r="J3587"/>
  <c r="I3587"/>
  <c r="H3587"/>
  <c r="E3587"/>
  <c r="J3586"/>
  <c r="I3586"/>
  <c r="K3586" s="1"/>
  <c r="H3586"/>
  <c r="E3586"/>
  <c r="J3585"/>
  <c r="K3585" s="1"/>
  <c r="I3585"/>
  <c r="H3585"/>
  <c r="E3585"/>
  <c r="K3584"/>
  <c r="J3584"/>
  <c r="I3584"/>
  <c r="H3584"/>
  <c r="E3584"/>
  <c r="K3583"/>
  <c r="J3583"/>
  <c r="I3583"/>
  <c r="H3583"/>
  <c r="E3583"/>
  <c r="J3582"/>
  <c r="I3582"/>
  <c r="K3582" s="1"/>
  <c r="H3582"/>
  <c r="E3582"/>
  <c r="J3581"/>
  <c r="K3581" s="1"/>
  <c r="I3581"/>
  <c r="H3581"/>
  <c r="E3581"/>
  <c r="K3580"/>
  <c r="J3580"/>
  <c r="I3580"/>
  <c r="H3580"/>
  <c r="E3580"/>
  <c r="K3579"/>
  <c r="J3579"/>
  <c r="I3579"/>
  <c r="H3579"/>
  <c r="E3579"/>
  <c r="J3578"/>
  <c r="I3578"/>
  <c r="K3578" s="1"/>
  <c r="H3578"/>
  <c r="E3578"/>
  <c r="J3577"/>
  <c r="K3577" s="1"/>
  <c r="I3577"/>
  <c r="H3577"/>
  <c r="E3577"/>
  <c r="I3576"/>
  <c r="G3576"/>
  <c r="J3576" s="1"/>
  <c r="K3576" s="1"/>
  <c r="E3576"/>
  <c r="J3575"/>
  <c r="I3575"/>
  <c r="K3575" s="1"/>
  <c r="H3575"/>
  <c r="E3575"/>
  <c r="J3574"/>
  <c r="K3574" s="1"/>
  <c r="I3574"/>
  <c r="H3574"/>
  <c r="G3574"/>
  <c r="E3574"/>
  <c r="D3574"/>
  <c r="I3573"/>
  <c r="H3573"/>
  <c r="G3573"/>
  <c r="D3573"/>
  <c r="J3573" s="1"/>
  <c r="K3573" s="1"/>
  <c r="I3572"/>
  <c r="H3572"/>
  <c r="G3572"/>
  <c r="J3572" s="1"/>
  <c r="K3572" s="1"/>
  <c r="E3572"/>
  <c r="J3571"/>
  <c r="K3571" s="1"/>
  <c r="I3571"/>
  <c r="H3571"/>
  <c r="E3571"/>
  <c r="K3570"/>
  <c r="J3570"/>
  <c r="H3570"/>
  <c r="E3570"/>
  <c r="K3569"/>
  <c r="J3569"/>
  <c r="I3569"/>
  <c r="H3569"/>
  <c r="E3569"/>
  <c r="I3568"/>
  <c r="H3568"/>
  <c r="G3568"/>
  <c r="J3568" s="1"/>
  <c r="K3568" s="1"/>
  <c r="E3568"/>
  <c r="J3567"/>
  <c r="K3567" s="1"/>
  <c r="I3567"/>
  <c r="H3567"/>
  <c r="E3567"/>
  <c r="K3566"/>
  <c r="J3566"/>
  <c r="I3566"/>
  <c r="H3566"/>
  <c r="E3566"/>
  <c r="I3565"/>
  <c r="H3565"/>
  <c r="G3565"/>
  <c r="J3565" s="1"/>
  <c r="K3565" s="1"/>
  <c r="E3565"/>
  <c r="J3564"/>
  <c r="K3564" s="1"/>
  <c r="I3564"/>
  <c r="H3564"/>
  <c r="E3564"/>
  <c r="K3563"/>
  <c r="J3563"/>
  <c r="I3563"/>
  <c r="H3563"/>
  <c r="E3563"/>
  <c r="K3562"/>
  <c r="J3562"/>
  <c r="I3562"/>
  <c r="H3562"/>
  <c r="E3562"/>
  <c r="J3561"/>
  <c r="I3561"/>
  <c r="K3561" s="1"/>
  <c r="H3561"/>
  <c r="E3561"/>
  <c r="J3560"/>
  <c r="K3560" s="1"/>
  <c r="I3560"/>
  <c r="H3560"/>
  <c r="E3560"/>
  <c r="K3559"/>
  <c r="J3559"/>
  <c r="I3559"/>
  <c r="H3559"/>
  <c r="E3559"/>
  <c r="K3558"/>
  <c r="J3558"/>
  <c r="I3558"/>
  <c r="H3558"/>
  <c r="E3558"/>
  <c r="J3557"/>
  <c r="I3557"/>
  <c r="K3557" s="1"/>
  <c r="H3557"/>
  <c r="E3557"/>
  <c r="J3556"/>
  <c r="K3556" s="1"/>
  <c r="I3556"/>
  <c r="H3556"/>
  <c r="E3556"/>
  <c r="K3555"/>
  <c r="J3555"/>
  <c r="I3555"/>
  <c r="H3555"/>
  <c r="E3555"/>
  <c r="K3554"/>
  <c r="J3554"/>
  <c r="I3554"/>
  <c r="H3554"/>
  <c r="E3554"/>
  <c r="J3553"/>
  <c r="I3553"/>
  <c r="K3553" s="1"/>
  <c r="H3553"/>
  <c r="E3553"/>
  <c r="J3552"/>
  <c r="K3552" s="1"/>
  <c r="I3552"/>
  <c r="H3552"/>
  <c r="E3552"/>
  <c r="K3551"/>
  <c r="J3551"/>
  <c r="I3551"/>
  <c r="H3551"/>
  <c r="E3551"/>
  <c r="K3550"/>
  <c r="J3550"/>
  <c r="I3550"/>
  <c r="H3550"/>
  <c r="E3550"/>
  <c r="J3549"/>
  <c r="I3549"/>
  <c r="K3549" s="1"/>
  <c r="H3549"/>
  <c r="E3549"/>
  <c r="J3548"/>
  <c r="K3548" s="1"/>
  <c r="I3548"/>
  <c r="H3548"/>
  <c r="E3548"/>
  <c r="K3547"/>
  <c r="J3547"/>
  <c r="I3547"/>
  <c r="H3547"/>
  <c r="E3547"/>
  <c r="K3546"/>
  <c r="J3546"/>
  <c r="I3546"/>
  <c r="H3546"/>
  <c r="E3546"/>
  <c r="J3545"/>
  <c r="I3545"/>
  <c r="K3545" s="1"/>
  <c r="H3545"/>
  <c r="E3545"/>
  <c r="J3544"/>
  <c r="K3544" s="1"/>
  <c r="I3544"/>
  <c r="H3544"/>
  <c r="E3544"/>
  <c r="K3543"/>
  <c r="J3543"/>
  <c r="I3543"/>
  <c r="H3543"/>
  <c r="E3543"/>
  <c r="K3542"/>
  <c r="J3542"/>
  <c r="I3542"/>
  <c r="H3542"/>
  <c r="E3542"/>
  <c r="J3541"/>
  <c r="I3541"/>
  <c r="K3541" s="1"/>
  <c r="H3541"/>
  <c r="E3541"/>
  <c r="J3540"/>
  <c r="K3540" s="1"/>
  <c r="I3540"/>
  <c r="H3540"/>
  <c r="E3540"/>
  <c r="K3539"/>
  <c r="J3539"/>
  <c r="I3539"/>
  <c r="H3539"/>
  <c r="E3539"/>
  <c r="K3538"/>
  <c r="J3538"/>
  <c r="I3538"/>
  <c r="H3538"/>
  <c r="E3538"/>
  <c r="J3537"/>
  <c r="I3537"/>
  <c r="K3537" s="1"/>
  <c r="H3537"/>
  <c r="E3537"/>
  <c r="J3536"/>
  <c r="K3536" s="1"/>
  <c r="I3536"/>
  <c r="H3536"/>
  <c r="E3536"/>
  <c r="I3535"/>
  <c r="G3535"/>
  <c r="J3535" s="1"/>
  <c r="K3535" s="1"/>
  <c r="E3535"/>
  <c r="J3534"/>
  <c r="I3534"/>
  <c r="K3534" s="1"/>
  <c r="H3534"/>
  <c r="E3534"/>
  <c r="J3533"/>
  <c r="K3533" s="1"/>
  <c r="I3533"/>
  <c r="H3533"/>
  <c r="E3533"/>
  <c r="K3532"/>
  <c r="J3532"/>
  <c r="I3532"/>
  <c r="H3532"/>
  <c r="E3532"/>
  <c r="K3531"/>
  <c r="J3531"/>
  <c r="I3531"/>
  <c r="H3531"/>
  <c r="E3531"/>
  <c r="J3530"/>
  <c r="I3530"/>
  <c r="K3530" s="1"/>
  <c r="H3530"/>
  <c r="E3530"/>
  <c r="J3529"/>
  <c r="K3529" s="1"/>
  <c r="I3529"/>
  <c r="H3529"/>
  <c r="E3529"/>
  <c r="K3528"/>
  <c r="J3528"/>
  <c r="I3528"/>
  <c r="H3528"/>
  <c r="E3528"/>
  <c r="K3527"/>
  <c r="J3527"/>
  <c r="I3527"/>
  <c r="H3527"/>
  <c r="E3527"/>
  <c r="J3526"/>
  <c r="I3526"/>
  <c r="K3526" s="1"/>
  <c r="H3526"/>
  <c r="E3526"/>
  <c r="J3525"/>
  <c r="K3525" s="1"/>
  <c r="I3525"/>
  <c r="H3525"/>
  <c r="E3525"/>
  <c r="K3524"/>
  <c r="J3524"/>
  <c r="I3524"/>
  <c r="H3524"/>
  <c r="E3524"/>
  <c r="K3523"/>
  <c r="J3523"/>
  <c r="I3523"/>
  <c r="H3523"/>
  <c r="E3523"/>
  <c r="J3522"/>
  <c r="I3522"/>
  <c r="K3522" s="1"/>
  <c r="H3522"/>
  <c r="E3522"/>
  <c r="I3521"/>
  <c r="H3521"/>
  <c r="D3521"/>
  <c r="E3521" s="1"/>
  <c r="K3520"/>
  <c r="J3520"/>
  <c r="I3520"/>
  <c r="H3520"/>
  <c r="E3520"/>
  <c r="J3519"/>
  <c r="I3519"/>
  <c r="K3519" s="1"/>
  <c r="H3519"/>
  <c r="E3519"/>
  <c r="J3518"/>
  <c r="K3518" s="1"/>
  <c r="I3518"/>
  <c r="H3518"/>
  <c r="E3518"/>
  <c r="K3517"/>
  <c r="J3517"/>
  <c r="I3517"/>
  <c r="H3517"/>
  <c r="E3517"/>
  <c r="K3516"/>
  <c r="J3516"/>
  <c r="I3516"/>
  <c r="H3516"/>
  <c r="E3516"/>
  <c r="J3515"/>
  <c r="I3515"/>
  <c r="K3515" s="1"/>
  <c r="H3515"/>
  <c r="E3515"/>
  <c r="J3514"/>
  <c r="K3514" s="1"/>
  <c r="I3514"/>
  <c r="H3514"/>
  <c r="E3514"/>
  <c r="K3513"/>
  <c r="J3513"/>
  <c r="I3513"/>
  <c r="H3513"/>
  <c r="E3513"/>
  <c r="K3512"/>
  <c r="J3512"/>
  <c r="I3512"/>
  <c r="H3512"/>
  <c r="E3512"/>
  <c r="J3511"/>
  <c r="I3511"/>
  <c r="K3511" s="1"/>
  <c r="H3511"/>
  <c r="E3511"/>
  <c r="J3510"/>
  <c r="K3510" s="1"/>
  <c r="I3510"/>
  <c r="H3510"/>
  <c r="E3510"/>
  <c r="K3509"/>
  <c r="J3509"/>
  <c r="I3509"/>
  <c r="H3509"/>
  <c r="E3509"/>
  <c r="K3508"/>
  <c r="J3508"/>
  <c r="I3508"/>
  <c r="H3508"/>
  <c r="E3508"/>
  <c r="J3507"/>
  <c r="I3507"/>
  <c r="K3507" s="1"/>
  <c r="H3507"/>
  <c r="E3507"/>
  <c r="J3506"/>
  <c r="K3506" s="1"/>
  <c r="H3506"/>
  <c r="E3506"/>
  <c r="J3505"/>
  <c r="K3505" s="1"/>
  <c r="I3505"/>
  <c r="H3505"/>
  <c r="G3505"/>
  <c r="E3505"/>
  <c r="K3504"/>
  <c r="J3504"/>
  <c r="I3504"/>
  <c r="H3504"/>
  <c r="E3504"/>
  <c r="J3503"/>
  <c r="I3503"/>
  <c r="K3503" s="1"/>
  <c r="H3503"/>
  <c r="E3503"/>
  <c r="J3502"/>
  <c r="K3502" s="1"/>
  <c r="I3502"/>
  <c r="H3502"/>
  <c r="E3502"/>
  <c r="K3501"/>
  <c r="J3501"/>
  <c r="H3501"/>
  <c r="E3501"/>
  <c r="I3500"/>
  <c r="G3500"/>
  <c r="H3500" s="1"/>
  <c r="E3500"/>
  <c r="J3499"/>
  <c r="I3499"/>
  <c r="K3499" s="1"/>
  <c r="H3499"/>
  <c r="E3499"/>
  <c r="J3498"/>
  <c r="K3498" s="1"/>
  <c r="I3498"/>
  <c r="H3498"/>
  <c r="G3498"/>
  <c r="E3498"/>
  <c r="K3497"/>
  <c r="J3497"/>
  <c r="I3497"/>
  <c r="H3497"/>
  <c r="E3497"/>
  <c r="J3496"/>
  <c r="I3496"/>
  <c r="K3496" s="1"/>
  <c r="H3496"/>
  <c r="E3496"/>
  <c r="J3495"/>
  <c r="K3495" s="1"/>
  <c r="I3495"/>
  <c r="H3495"/>
  <c r="E3495"/>
  <c r="K3494"/>
  <c r="J3494"/>
  <c r="I3494"/>
  <c r="H3494"/>
  <c r="E3494"/>
  <c r="K3493"/>
  <c r="J3493"/>
  <c r="I3493"/>
  <c r="H3493"/>
  <c r="E3493"/>
  <c r="J3492"/>
  <c r="I3492"/>
  <c r="K3492" s="1"/>
  <c r="H3492"/>
  <c r="E3492"/>
  <c r="J3491"/>
  <c r="K3491" s="1"/>
  <c r="H3491"/>
  <c r="E3491"/>
  <c r="J3490"/>
  <c r="K3490" s="1"/>
  <c r="I3490"/>
  <c r="H3490"/>
  <c r="E3490"/>
  <c r="K3489"/>
  <c r="J3489"/>
  <c r="H3489"/>
  <c r="E3489"/>
  <c r="I3488"/>
  <c r="G3488"/>
  <c r="J3488" s="1"/>
  <c r="K3488" s="1"/>
  <c r="E3488"/>
  <c r="D3488"/>
  <c r="J3487"/>
  <c r="K3487" s="1"/>
  <c r="I3487"/>
  <c r="H3487"/>
  <c r="E3487"/>
  <c r="K3486"/>
  <c r="J3486"/>
  <c r="I3486"/>
  <c r="H3486"/>
  <c r="E3486"/>
  <c r="K3485"/>
  <c r="J3485"/>
  <c r="I3485"/>
  <c r="H3485"/>
  <c r="E3485"/>
  <c r="J3484"/>
  <c r="I3484"/>
  <c r="K3484" s="1"/>
  <c r="H3484"/>
  <c r="E3484"/>
  <c r="J3483"/>
  <c r="K3483" s="1"/>
  <c r="I3483"/>
  <c r="H3483"/>
  <c r="E3483"/>
  <c r="K3482"/>
  <c r="J3482"/>
  <c r="I3482"/>
  <c r="H3482"/>
  <c r="E3482"/>
  <c r="K3481"/>
  <c r="J3481"/>
  <c r="I3481"/>
  <c r="H3481"/>
  <c r="E3481"/>
  <c r="J3480"/>
  <c r="I3480"/>
  <c r="K3480" s="1"/>
  <c r="H3480"/>
  <c r="E3480"/>
  <c r="J3479"/>
  <c r="K3479" s="1"/>
  <c r="H3479"/>
  <c r="E3479"/>
  <c r="J3478"/>
  <c r="K3478" s="1"/>
  <c r="H3478"/>
  <c r="E3478"/>
  <c r="J3477"/>
  <c r="K3477" s="1"/>
  <c r="H3477"/>
  <c r="E3477"/>
  <c r="J3476"/>
  <c r="K3476" s="1"/>
  <c r="I3476"/>
  <c r="H3476"/>
  <c r="E3476"/>
  <c r="K3475"/>
  <c r="J3475"/>
  <c r="I3475"/>
  <c r="H3475"/>
  <c r="E3475"/>
  <c r="K3474"/>
  <c r="J3474"/>
  <c r="I3474"/>
  <c r="H3474"/>
  <c r="E3474"/>
  <c r="J3473"/>
  <c r="I3473"/>
  <c r="K3473" s="1"/>
  <c r="H3473"/>
  <c r="E3473"/>
  <c r="J3472"/>
  <c r="K3472" s="1"/>
  <c r="I3472"/>
  <c r="H3472"/>
  <c r="E3472"/>
  <c r="K3471"/>
  <c r="J3471"/>
  <c r="I3471"/>
  <c r="H3471"/>
  <c r="E3471"/>
  <c r="K3470"/>
  <c r="J3470"/>
  <c r="I3470"/>
  <c r="H3470"/>
  <c r="E3470"/>
  <c r="J3469"/>
  <c r="I3469"/>
  <c r="K3469" s="1"/>
  <c r="H3469"/>
  <c r="E3469"/>
  <c r="J3468"/>
  <c r="K3468" s="1"/>
  <c r="I3468"/>
  <c r="H3468"/>
  <c r="E3468"/>
  <c r="K3467"/>
  <c r="J3467"/>
  <c r="I3467"/>
  <c r="H3467"/>
  <c r="E3467"/>
  <c r="K3466"/>
  <c r="J3466"/>
  <c r="I3466"/>
  <c r="H3466"/>
  <c r="E3466"/>
  <c r="J3465"/>
  <c r="I3465"/>
  <c r="K3465" s="1"/>
  <c r="H3465"/>
  <c r="E3465"/>
  <c r="J3464"/>
  <c r="K3464" s="1"/>
  <c r="I3464"/>
  <c r="H3464"/>
  <c r="E3464"/>
  <c r="K3463"/>
  <c r="J3463"/>
  <c r="I3463"/>
  <c r="H3463"/>
  <c r="E3463"/>
  <c r="K3462"/>
  <c r="J3462"/>
  <c r="H3462"/>
  <c r="E3462"/>
  <c r="K3461"/>
  <c r="J3461"/>
  <c r="I3461"/>
  <c r="H3461"/>
  <c r="E3461"/>
  <c r="J3460"/>
  <c r="I3460"/>
  <c r="K3460" s="1"/>
  <c r="H3460"/>
  <c r="E3460"/>
  <c r="J3459"/>
  <c r="K3459" s="1"/>
  <c r="I3459"/>
  <c r="H3459"/>
  <c r="E3459"/>
  <c r="K3458"/>
  <c r="J3458"/>
  <c r="I3458"/>
  <c r="H3458"/>
  <c r="E3458"/>
  <c r="K3457"/>
  <c r="J3457"/>
  <c r="I3457"/>
  <c r="H3457"/>
  <c r="E3457"/>
  <c r="J3456"/>
  <c r="I3456"/>
  <c r="K3456" s="1"/>
  <c r="H3456"/>
  <c r="E3456"/>
  <c r="J3455"/>
  <c r="K3455" s="1"/>
  <c r="I3455"/>
  <c r="H3455"/>
  <c r="E3455"/>
  <c r="K3454"/>
  <c r="J3454"/>
  <c r="I3454"/>
  <c r="H3454"/>
  <c r="E3454"/>
  <c r="I3453"/>
  <c r="H3453"/>
  <c r="G3453"/>
  <c r="J3453" s="1"/>
  <c r="K3453" s="1"/>
  <c r="E3453"/>
  <c r="D3453"/>
  <c r="K3452"/>
  <c r="J3452"/>
  <c r="I3452"/>
  <c r="H3452"/>
  <c r="E3452"/>
  <c r="K3451"/>
  <c r="J3451"/>
  <c r="I3451"/>
  <c r="H3451"/>
  <c r="E3451"/>
  <c r="J3450"/>
  <c r="I3450"/>
  <c r="K3450" s="1"/>
  <c r="H3450"/>
  <c r="E3450"/>
  <c r="J3449"/>
  <c r="K3449" s="1"/>
  <c r="I3449"/>
  <c r="H3449"/>
  <c r="E3449"/>
  <c r="K3448"/>
  <c r="J3448"/>
  <c r="I3448"/>
  <c r="H3448"/>
  <c r="E3448"/>
  <c r="K3447"/>
  <c r="J3447"/>
  <c r="I3447"/>
  <c r="H3447"/>
  <c r="E3447"/>
  <c r="J3446"/>
  <c r="I3446"/>
  <c r="K3446" s="1"/>
  <c r="H3446"/>
  <c r="E3446"/>
  <c r="J3445"/>
  <c r="K3445" s="1"/>
  <c r="I3445"/>
  <c r="H3445"/>
  <c r="E3445"/>
  <c r="K3444"/>
  <c r="J3444"/>
  <c r="I3444"/>
  <c r="H3444"/>
  <c r="E3444"/>
  <c r="K3443"/>
  <c r="J3443"/>
  <c r="H3443"/>
  <c r="E3443"/>
  <c r="K3442"/>
  <c r="J3442"/>
  <c r="I3442"/>
  <c r="H3442"/>
  <c r="E3442"/>
  <c r="K3441"/>
  <c r="J3441"/>
  <c r="H3441"/>
  <c r="E3441"/>
  <c r="K3440"/>
  <c r="J3440"/>
  <c r="H3440"/>
  <c r="E3440"/>
  <c r="J3439"/>
  <c r="I3439"/>
  <c r="K3439" s="1"/>
  <c r="H3439"/>
  <c r="E3439"/>
  <c r="J3438"/>
  <c r="K3438" s="1"/>
  <c r="I3438"/>
  <c r="H3438"/>
  <c r="E3438"/>
  <c r="K3437"/>
  <c r="J3437"/>
  <c r="I3437"/>
  <c r="H3437"/>
  <c r="E3437"/>
  <c r="K3436"/>
  <c r="J3436"/>
  <c r="I3436"/>
  <c r="H3436"/>
  <c r="E3436"/>
  <c r="J3435"/>
  <c r="I3435"/>
  <c r="K3435" s="1"/>
  <c r="H3435"/>
  <c r="E3435"/>
  <c r="J3434"/>
  <c r="K3434" s="1"/>
  <c r="I3434"/>
  <c r="H3434"/>
  <c r="E3434"/>
  <c r="K3433"/>
  <c r="J3433"/>
  <c r="I3433"/>
  <c r="H3433"/>
  <c r="E3433"/>
  <c r="K3432"/>
  <c r="J3432"/>
  <c r="H3432"/>
  <c r="E3432"/>
  <c r="K3431"/>
  <c r="J3431"/>
  <c r="I3431"/>
  <c r="H3431"/>
  <c r="E3431"/>
  <c r="J3430"/>
  <c r="I3430"/>
  <c r="K3430" s="1"/>
  <c r="H3430"/>
  <c r="E3430"/>
  <c r="J3429"/>
  <c r="K3429" s="1"/>
  <c r="I3429"/>
  <c r="H3429"/>
  <c r="E3429"/>
  <c r="K3428"/>
  <c r="J3428"/>
  <c r="I3428"/>
  <c r="H3428"/>
  <c r="E3428"/>
  <c r="K3427"/>
  <c r="J3427"/>
  <c r="I3427"/>
  <c r="H3427"/>
  <c r="E3427"/>
  <c r="J3426"/>
  <c r="I3426"/>
  <c r="K3426" s="1"/>
  <c r="H3426"/>
  <c r="E3426"/>
  <c r="J3425"/>
  <c r="K3425" s="1"/>
  <c r="I3425"/>
  <c r="H3425"/>
  <c r="E3425"/>
  <c r="K3424"/>
  <c r="J3424"/>
  <c r="I3424"/>
  <c r="H3424"/>
  <c r="E3424"/>
  <c r="K3423"/>
  <c r="J3423"/>
  <c r="I3423"/>
  <c r="H3423"/>
  <c r="E3423"/>
  <c r="J3422"/>
  <c r="I3422"/>
  <c r="K3422" s="1"/>
  <c r="H3422"/>
  <c r="E3422"/>
  <c r="J3421"/>
  <c r="K3421" s="1"/>
  <c r="I3421"/>
  <c r="H3421"/>
  <c r="E3421"/>
  <c r="K3420"/>
  <c r="J3420"/>
  <c r="I3420"/>
  <c r="H3420"/>
  <c r="E3420"/>
  <c r="K3419"/>
  <c r="J3419"/>
  <c r="I3419"/>
  <c r="H3419"/>
  <c r="E3419"/>
  <c r="J3418"/>
  <c r="I3418"/>
  <c r="K3418" s="1"/>
  <c r="H3418"/>
  <c r="E3418"/>
  <c r="J3417"/>
  <c r="K3417" s="1"/>
  <c r="I3417"/>
  <c r="H3417"/>
  <c r="E3417"/>
  <c r="K3416"/>
  <c r="J3416"/>
  <c r="I3416"/>
  <c r="H3416"/>
  <c r="E3416"/>
  <c r="K3415"/>
  <c r="J3415"/>
  <c r="I3415"/>
  <c r="H3415"/>
  <c r="E3415"/>
  <c r="J3414"/>
  <c r="I3414"/>
  <c r="K3414" s="1"/>
  <c r="H3414"/>
  <c r="E3414"/>
  <c r="J3413"/>
  <c r="K3413" s="1"/>
  <c r="I3413"/>
  <c r="H3413"/>
  <c r="E3413"/>
  <c r="K3412"/>
  <c r="J3412"/>
  <c r="I3412"/>
  <c r="H3412"/>
  <c r="E3412"/>
  <c r="K3411"/>
  <c r="J3411"/>
  <c r="I3411"/>
  <c r="H3411"/>
  <c r="E3411"/>
  <c r="J3410"/>
  <c r="I3410"/>
  <c r="K3410" s="1"/>
  <c r="H3410"/>
  <c r="E3410"/>
  <c r="J3409"/>
  <c r="K3409" s="1"/>
  <c r="I3409"/>
  <c r="H3409"/>
  <c r="E3409"/>
  <c r="K3408"/>
  <c r="J3408"/>
  <c r="I3408"/>
  <c r="H3408"/>
  <c r="E3408"/>
  <c r="K3407"/>
  <c r="J3407"/>
  <c r="I3407"/>
  <c r="H3407"/>
  <c r="E3407"/>
  <c r="J3406"/>
  <c r="I3406"/>
  <c r="K3406" s="1"/>
  <c r="H3406"/>
  <c r="E3406"/>
  <c r="J3405"/>
  <c r="K3405" s="1"/>
  <c r="I3405"/>
  <c r="H3405"/>
  <c r="E3405"/>
  <c r="K3404"/>
  <c r="J3404"/>
  <c r="I3404"/>
  <c r="H3404"/>
  <c r="E3404"/>
  <c r="K3403"/>
  <c r="J3403"/>
  <c r="I3403"/>
  <c r="H3403"/>
  <c r="E3403"/>
  <c r="J3402"/>
  <c r="I3402"/>
  <c r="K3402" s="1"/>
  <c r="H3402"/>
  <c r="E3402"/>
  <c r="J3401"/>
  <c r="K3401" s="1"/>
  <c r="I3401"/>
  <c r="H3401"/>
  <c r="G3401"/>
  <c r="E3401"/>
  <c r="D3401"/>
  <c r="D3611" s="1"/>
  <c r="J3400"/>
  <c r="I3400"/>
  <c r="K3400" s="1"/>
  <c r="H3400"/>
  <c r="E3400"/>
  <c r="J3399"/>
  <c r="K3399" s="1"/>
  <c r="I3399"/>
  <c r="H3399"/>
  <c r="E3399"/>
  <c r="K3398"/>
  <c r="J3398"/>
  <c r="I3398"/>
  <c r="H3398"/>
  <c r="E3398"/>
  <c r="I3397"/>
  <c r="H3397"/>
  <c r="G3397"/>
  <c r="J3397" s="1"/>
  <c r="K3397" s="1"/>
  <c r="E3397"/>
  <c r="J3396"/>
  <c r="K3396" s="1"/>
  <c r="I3396"/>
  <c r="H3396"/>
  <c r="E3396"/>
  <c r="K3395"/>
  <c r="J3395"/>
  <c r="H3395"/>
  <c r="E3395"/>
  <c r="K3394"/>
  <c r="J3394"/>
  <c r="I3394"/>
  <c r="H3394"/>
  <c r="E3394"/>
  <c r="K3393"/>
  <c r="J3393"/>
  <c r="I3393"/>
  <c r="H3393"/>
  <c r="E3393"/>
  <c r="J3392"/>
  <c r="I3392"/>
  <c r="K3392" s="1"/>
  <c r="H3392"/>
  <c r="E3392"/>
  <c r="J3391"/>
  <c r="K3391" s="1"/>
  <c r="I3391"/>
  <c r="H3391"/>
  <c r="E3391"/>
  <c r="I3390"/>
  <c r="G3390"/>
  <c r="H3390" s="1"/>
  <c r="E3390"/>
  <c r="J3389"/>
  <c r="I3389"/>
  <c r="K3389" s="1"/>
  <c r="H3389"/>
  <c r="E3389"/>
  <c r="J3388"/>
  <c r="K3388" s="1"/>
  <c r="I3388"/>
  <c r="H3388"/>
  <c r="E3388"/>
  <c r="K3387"/>
  <c r="J3387"/>
  <c r="I3387"/>
  <c r="H3387"/>
  <c r="E3387"/>
  <c r="K3386"/>
  <c r="J3386"/>
  <c r="I3386"/>
  <c r="H3386"/>
  <c r="E3386"/>
  <c r="J3385"/>
  <c r="I3385"/>
  <c r="K3385" s="1"/>
  <c r="H3385"/>
  <c r="E3385"/>
  <c r="J3384"/>
  <c r="K3384" s="1"/>
  <c r="I3384"/>
  <c r="H3384"/>
  <c r="G3384"/>
  <c r="E3384"/>
  <c r="K3383"/>
  <c r="J3383"/>
  <c r="I3383"/>
  <c r="H3383"/>
  <c r="E3383"/>
  <c r="I3382"/>
  <c r="H3382"/>
  <c r="G3382"/>
  <c r="J3382" s="1"/>
  <c r="K3382" s="1"/>
  <c r="E3382"/>
  <c r="K3381"/>
  <c r="J3381"/>
  <c r="I3381"/>
  <c r="H3381"/>
  <c r="E3381"/>
  <c r="K3380"/>
  <c r="J3380"/>
  <c r="I3380"/>
  <c r="H3380"/>
  <c r="E3380"/>
  <c r="J3379"/>
  <c r="I3379"/>
  <c r="K3379" s="1"/>
  <c r="H3379"/>
  <c r="E3379"/>
  <c r="J3378"/>
  <c r="K3378" s="1"/>
  <c r="I3378"/>
  <c r="H3378"/>
  <c r="E3378"/>
  <c r="K3377"/>
  <c r="J3377"/>
  <c r="I3377"/>
  <c r="H3377"/>
  <c r="E3377"/>
  <c r="K3376"/>
  <c r="J3376"/>
  <c r="I3376"/>
  <c r="H3376"/>
  <c r="E3376"/>
  <c r="J3375"/>
  <c r="I3375"/>
  <c r="K3375" s="1"/>
  <c r="H3375"/>
  <c r="E3375"/>
  <c r="J3374"/>
  <c r="K3374" s="1"/>
  <c r="I3374"/>
  <c r="H3374"/>
  <c r="E3374"/>
  <c r="K3373"/>
  <c r="J3373"/>
  <c r="I3373"/>
  <c r="H3373"/>
  <c r="E3373"/>
  <c r="K3372"/>
  <c r="J3372"/>
  <c r="I3372"/>
  <c r="H3372"/>
  <c r="E3372"/>
  <c r="J3371"/>
  <c r="I3371"/>
  <c r="K3371" s="1"/>
  <c r="H3371"/>
  <c r="E3371"/>
  <c r="J3370"/>
  <c r="K3370" s="1"/>
  <c r="I3370"/>
  <c r="H3370"/>
  <c r="E3370"/>
  <c r="K3369"/>
  <c r="J3369"/>
  <c r="I3369"/>
  <c r="H3369"/>
  <c r="E3369"/>
  <c r="K3368"/>
  <c r="J3368"/>
  <c r="I3368"/>
  <c r="H3368"/>
  <c r="E3368"/>
  <c r="I3367"/>
  <c r="H3367"/>
  <c r="G3367"/>
  <c r="G3611" s="1"/>
  <c r="E3367"/>
  <c r="K3366"/>
  <c r="J3366"/>
  <c r="I3366"/>
  <c r="H3366"/>
  <c r="E3366"/>
  <c r="K3365"/>
  <c r="J3365"/>
  <c r="H3365"/>
  <c r="E3365"/>
  <c r="K3364"/>
  <c r="J3364"/>
  <c r="I3364"/>
  <c r="H3364"/>
  <c r="E3364"/>
  <c r="J3363"/>
  <c r="I3363"/>
  <c r="K3363" s="1"/>
  <c r="H3363"/>
  <c r="E3363"/>
  <c r="J3362"/>
  <c r="K3362" s="1"/>
  <c r="I3362"/>
  <c r="H3362"/>
  <c r="E3362"/>
  <c r="K3361"/>
  <c r="J3361"/>
  <c r="I3361"/>
  <c r="H3361"/>
  <c r="E3361"/>
  <c r="K3360"/>
  <c r="J3360"/>
  <c r="I3360"/>
  <c r="H3360"/>
  <c r="E3360"/>
  <c r="K3359"/>
  <c r="J3359"/>
  <c r="H3359"/>
  <c r="E3359"/>
  <c r="H3356"/>
  <c r="G3356"/>
  <c r="F3356"/>
  <c r="D3356"/>
  <c r="D3357" s="1"/>
  <c r="D3669" s="1"/>
  <c r="C3356"/>
  <c r="C3357" s="1"/>
  <c r="C3669" s="1"/>
  <c r="J3355"/>
  <c r="I3355"/>
  <c r="K3355" s="1"/>
  <c r="H3355"/>
  <c r="J3354"/>
  <c r="I3354"/>
  <c r="K3354" s="1"/>
  <c r="H3354"/>
  <c r="J3353"/>
  <c r="I3353"/>
  <c r="K3353" s="1"/>
  <c r="H3353"/>
  <c r="J3352"/>
  <c r="I3352"/>
  <c r="K3352" s="1"/>
  <c r="H3352"/>
  <c r="J3351"/>
  <c r="I3351"/>
  <c r="K3351" s="1"/>
  <c r="H3351"/>
  <c r="J3350"/>
  <c r="I3350"/>
  <c r="K3350" s="1"/>
  <c r="H3350"/>
  <c r="J3349"/>
  <c r="I3349"/>
  <c r="K3349" s="1"/>
  <c r="H3349"/>
  <c r="J3348"/>
  <c r="I3348"/>
  <c r="K3348" s="1"/>
  <c r="H3348"/>
  <c r="J3347"/>
  <c r="I3347"/>
  <c r="K3347" s="1"/>
  <c r="H3347"/>
  <c r="J3346"/>
  <c r="I3346"/>
  <c r="K3346" s="1"/>
  <c r="H3346"/>
  <c r="J3345"/>
  <c r="I3345"/>
  <c r="K3345" s="1"/>
  <c r="H3345"/>
  <c r="J3344"/>
  <c r="I3344"/>
  <c r="K3344" s="1"/>
  <c r="H3344"/>
  <c r="J3343"/>
  <c r="I3343"/>
  <c r="K3343" s="1"/>
  <c r="H3343"/>
  <c r="J3342"/>
  <c r="I3342"/>
  <c r="K3342" s="1"/>
  <c r="H3342"/>
  <c r="J3341"/>
  <c r="I3341"/>
  <c r="K3341" s="1"/>
  <c r="H3341"/>
  <c r="J3340"/>
  <c r="I3340"/>
  <c r="K3340" s="1"/>
  <c r="H3340"/>
  <c r="J3339"/>
  <c r="I3339"/>
  <c r="K3339" s="1"/>
  <c r="H3339"/>
  <c r="J3338"/>
  <c r="I3338"/>
  <c r="K3338" s="1"/>
  <c r="H3338"/>
  <c r="J3337"/>
  <c r="I3337"/>
  <c r="K3337" s="1"/>
  <c r="H3337"/>
  <c r="J3336"/>
  <c r="I3336"/>
  <c r="K3336" s="1"/>
  <c r="H3336"/>
  <c r="J3335"/>
  <c r="I3335"/>
  <c r="K3335" s="1"/>
  <c r="H3335"/>
  <c r="J3334"/>
  <c r="I3334"/>
  <c r="K3334" s="1"/>
  <c r="H3334"/>
  <c r="J3333"/>
  <c r="I3333"/>
  <c r="K3333" s="1"/>
  <c r="H3333"/>
  <c r="J3332"/>
  <c r="I3332"/>
  <c r="K3332" s="1"/>
  <c r="H3332"/>
  <c r="J3331"/>
  <c r="I3331"/>
  <c r="K3331" s="1"/>
  <c r="H3331"/>
  <c r="J3330"/>
  <c r="I3330"/>
  <c r="K3330" s="1"/>
  <c r="H3330"/>
  <c r="J3329"/>
  <c r="I3329"/>
  <c r="K3329" s="1"/>
  <c r="H3329"/>
  <c r="J3328"/>
  <c r="I3328"/>
  <c r="K3328" s="1"/>
  <c r="H3328"/>
  <c r="J3327"/>
  <c r="I3327"/>
  <c r="K3327" s="1"/>
  <c r="H3327"/>
  <c r="J3326"/>
  <c r="I3326"/>
  <c r="K3326" s="1"/>
  <c r="H3326"/>
  <c r="J3325"/>
  <c r="J3356" s="1"/>
  <c r="I3325"/>
  <c r="K3325" s="1"/>
  <c r="H3325"/>
  <c r="H3323"/>
  <c r="G3323"/>
  <c r="G3357" s="1"/>
  <c r="F3323"/>
  <c r="F3357" s="1"/>
  <c r="F3669" s="1"/>
  <c r="F3670" s="1"/>
  <c r="E3323"/>
  <c r="D3323"/>
  <c r="C3323"/>
  <c r="J3322"/>
  <c r="K3322" s="1"/>
  <c r="I3322"/>
  <c r="H3322"/>
  <c r="E3322"/>
  <c r="K3321"/>
  <c r="J3321"/>
  <c r="I3321"/>
  <c r="H3321"/>
  <c r="E3321"/>
  <c r="K3320"/>
  <c r="J3320"/>
  <c r="I3320"/>
  <c r="H3320"/>
  <c r="E3320"/>
  <c r="J3319"/>
  <c r="I3319"/>
  <c r="K3319" s="1"/>
  <c r="H3319"/>
  <c r="E3319"/>
  <c r="J3318"/>
  <c r="K3318" s="1"/>
  <c r="I3318"/>
  <c r="H3318"/>
  <c r="E3318"/>
  <c r="K3317"/>
  <c r="J3317"/>
  <c r="I3317"/>
  <c r="H3317"/>
  <c r="E3317"/>
  <c r="K3316"/>
  <c r="J3316"/>
  <c r="I3316"/>
  <c r="H3316"/>
  <c r="E3316"/>
  <c r="J3315"/>
  <c r="I3315"/>
  <c r="K3315" s="1"/>
  <c r="H3315"/>
  <c r="E3315"/>
  <c r="J3314"/>
  <c r="K3314" s="1"/>
  <c r="I3314"/>
  <c r="H3314"/>
  <c r="E3314"/>
  <c r="K3313"/>
  <c r="J3313"/>
  <c r="I3313"/>
  <c r="H3313"/>
  <c r="E3313"/>
  <c r="K3312"/>
  <c r="J3312"/>
  <c r="I3312"/>
  <c r="H3312"/>
  <c r="E3312"/>
  <c r="J3311"/>
  <c r="I3311"/>
  <c r="K3311" s="1"/>
  <c r="H3311"/>
  <c r="E3311"/>
  <c r="J3310"/>
  <c r="K3310" s="1"/>
  <c r="I3310"/>
  <c r="H3310"/>
  <c r="E3310"/>
  <c r="K3309"/>
  <c r="J3309"/>
  <c r="I3309"/>
  <c r="H3309"/>
  <c r="E3309"/>
  <c r="K3308"/>
  <c r="J3308"/>
  <c r="I3308"/>
  <c r="H3308"/>
  <c r="E3308"/>
  <c r="J3307"/>
  <c r="I3307"/>
  <c r="K3307" s="1"/>
  <c r="H3307"/>
  <c r="E3307"/>
  <c r="J3306"/>
  <c r="K3306" s="1"/>
  <c r="I3306"/>
  <c r="H3306"/>
  <c r="E3306"/>
  <c r="K3305"/>
  <c r="J3305"/>
  <c r="H3305"/>
  <c r="E3305"/>
  <c r="K3304"/>
  <c r="J3304"/>
  <c r="I3304"/>
  <c r="H3304"/>
  <c r="E3304"/>
  <c r="K3303"/>
  <c r="J3303"/>
  <c r="I3303"/>
  <c r="H3303"/>
  <c r="E3303"/>
  <c r="K3302"/>
  <c r="J3302"/>
  <c r="H3302"/>
  <c r="E3302"/>
  <c r="J3301"/>
  <c r="I3301"/>
  <c r="K3301" s="1"/>
  <c r="H3301"/>
  <c r="E3301"/>
  <c r="J3300"/>
  <c r="K3300" s="1"/>
  <c r="I3300"/>
  <c r="H3300"/>
  <c r="E3300"/>
  <c r="K3299"/>
  <c r="J3299"/>
  <c r="I3299"/>
  <c r="H3299"/>
  <c r="E3299"/>
  <c r="K3298"/>
  <c r="J3298"/>
  <c r="I3298"/>
  <c r="H3298"/>
  <c r="E3298"/>
  <c r="J3297"/>
  <c r="I3297"/>
  <c r="K3297" s="1"/>
  <c r="H3297"/>
  <c r="E3297"/>
  <c r="J3296"/>
  <c r="K3296" s="1"/>
  <c r="I3296"/>
  <c r="H3296"/>
  <c r="E3296"/>
  <c r="K3295"/>
  <c r="J3295"/>
  <c r="I3295"/>
  <c r="H3295"/>
  <c r="E3295"/>
  <c r="K3294"/>
  <c r="J3294"/>
  <c r="I3294"/>
  <c r="H3294"/>
  <c r="E3294"/>
  <c r="J3293"/>
  <c r="I3293"/>
  <c r="K3293" s="1"/>
  <c r="H3293"/>
  <c r="E3293"/>
  <c r="J3292"/>
  <c r="K3292" s="1"/>
  <c r="I3292"/>
  <c r="H3292"/>
  <c r="E3292"/>
  <c r="K3291"/>
  <c r="J3291"/>
  <c r="I3291"/>
  <c r="H3291"/>
  <c r="E3291"/>
  <c r="K3290"/>
  <c r="J3290"/>
  <c r="I3290"/>
  <c r="H3290"/>
  <c r="E3290"/>
  <c r="J3289"/>
  <c r="I3289"/>
  <c r="K3289" s="1"/>
  <c r="H3289"/>
  <c r="E3289"/>
  <c r="J3288"/>
  <c r="K3288" s="1"/>
  <c r="I3288"/>
  <c r="H3288"/>
  <c r="E3288"/>
  <c r="K3287"/>
  <c r="J3287"/>
  <c r="I3287"/>
  <c r="H3287"/>
  <c r="E3287"/>
  <c r="K3286"/>
  <c r="J3286"/>
  <c r="I3286"/>
  <c r="H3286"/>
  <c r="E3286"/>
  <c r="J3285"/>
  <c r="I3285"/>
  <c r="K3285" s="1"/>
  <c r="H3285"/>
  <c r="E3285"/>
  <c r="J3284"/>
  <c r="K3284" s="1"/>
  <c r="I3284"/>
  <c r="H3284"/>
  <c r="E3284"/>
  <c r="K3283"/>
  <c r="J3283"/>
  <c r="I3283"/>
  <c r="H3283"/>
  <c r="E3283"/>
  <c r="K3282"/>
  <c r="J3282"/>
  <c r="I3282"/>
  <c r="H3282"/>
  <c r="E3282"/>
  <c r="J3281"/>
  <c r="I3281"/>
  <c r="K3281" s="1"/>
  <c r="H3281"/>
  <c r="E3281"/>
  <c r="J3280"/>
  <c r="K3280" s="1"/>
  <c r="I3280"/>
  <c r="H3280"/>
  <c r="E3280"/>
  <c r="K3279"/>
  <c r="J3279"/>
  <c r="I3279"/>
  <c r="H3279"/>
  <c r="E3279"/>
  <c r="K3278"/>
  <c r="J3278"/>
  <c r="I3278"/>
  <c r="H3278"/>
  <c r="E3278"/>
  <c r="J3277"/>
  <c r="I3277"/>
  <c r="K3277" s="1"/>
  <c r="H3277"/>
  <c r="E3277"/>
  <c r="J3276"/>
  <c r="K3276" s="1"/>
  <c r="I3276"/>
  <c r="H3276"/>
  <c r="E3276"/>
  <c r="K3275"/>
  <c r="J3275"/>
  <c r="I3275"/>
  <c r="H3275"/>
  <c r="E3275"/>
  <c r="K3274"/>
  <c r="J3274"/>
  <c r="I3274"/>
  <c r="H3274"/>
  <c r="E3274"/>
  <c r="J3273"/>
  <c r="I3273"/>
  <c r="K3273" s="1"/>
  <c r="H3273"/>
  <c r="E3273"/>
  <c r="J3272"/>
  <c r="K3272" s="1"/>
  <c r="I3272"/>
  <c r="H3272"/>
  <c r="E3272"/>
  <c r="K3271"/>
  <c r="J3271"/>
  <c r="I3271"/>
  <c r="H3271"/>
  <c r="E3271"/>
  <c r="K3270"/>
  <c r="J3270"/>
  <c r="I3270"/>
  <c r="H3270"/>
  <c r="E3270"/>
  <c r="J3269"/>
  <c r="I3269"/>
  <c r="K3269" s="1"/>
  <c r="H3269"/>
  <c r="E3269"/>
  <c r="J3268"/>
  <c r="K3268" s="1"/>
  <c r="I3268"/>
  <c r="H3268"/>
  <c r="E3268"/>
  <c r="K3267"/>
  <c r="J3267"/>
  <c r="I3267"/>
  <c r="H3267"/>
  <c r="E3267"/>
  <c r="K3266"/>
  <c r="J3266"/>
  <c r="I3266"/>
  <c r="H3266"/>
  <c r="E3266"/>
  <c r="J3265"/>
  <c r="I3265"/>
  <c r="K3265" s="1"/>
  <c r="H3265"/>
  <c r="E3265"/>
  <c r="J3264"/>
  <c r="K3264" s="1"/>
  <c r="I3264"/>
  <c r="H3264"/>
  <c r="E3264"/>
  <c r="K3263"/>
  <c r="J3263"/>
  <c r="I3263"/>
  <c r="H3263"/>
  <c r="E3263"/>
  <c r="K3262"/>
  <c r="J3262"/>
  <c r="I3262"/>
  <c r="H3262"/>
  <c r="E3262"/>
  <c r="J3261"/>
  <c r="I3261"/>
  <c r="K3261" s="1"/>
  <c r="H3261"/>
  <c r="E3261"/>
  <c r="J3260"/>
  <c r="K3260" s="1"/>
  <c r="I3260"/>
  <c r="H3260"/>
  <c r="E3260"/>
  <c r="K3259"/>
  <c r="J3259"/>
  <c r="I3259"/>
  <c r="H3259"/>
  <c r="E3259"/>
  <c r="K3258"/>
  <c r="J3258"/>
  <c r="I3258"/>
  <c r="H3258"/>
  <c r="E3258"/>
  <c r="J3257"/>
  <c r="I3257"/>
  <c r="K3257" s="1"/>
  <c r="H3257"/>
  <c r="E3257"/>
  <c r="J3256"/>
  <c r="K3256" s="1"/>
  <c r="I3256"/>
  <c r="H3256"/>
  <c r="E3256"/>
  <c r="K3255"/>
  <c r="J3255"/>
  <c r="I3255"/>
  <c r="H3255"/>
  <c r="E3255"/>
  <c r="K3254"/>
  <c r="J3254"/>
  <c r="I3254"/>
  <c r="H3254"/>
  <c r="E3254"/>
  <c r="J3253"/>
  <c r="I3253"/>
  <c r="K3253" s="1"/>
  <c r="H3253"/>
  <c r="E3253"/>
  <c r="J3252"/>
  <c r="K3252" s="1"/>
  <c r="I3252"/>
  <c r="H3252"/>
  <c r="E3252"/>
  <c r="K3251"/>
  <c r="J3251"/>
  <c r="I3251"/>
  <c r="H3251"/>
  <c r="E3251"/>
  <c r="K3250"/>
  <c r="J3250"/>
  <c r="I3250"/>
  <c r="H3250"/>
  <c r="E3250"/>
  <c r="J3249"/>
  <c r="I3249"/>
  <c r="K3249" s="1"/>
  <c r="H3249"/>
  <c r="E3249"/>
  <c r="J3248"/>
  <c r="K3248" s="1"/>
  <c r="I3248"/>
  <c r="H3248"/>
  <c r="E3248"/>
  <c r="K3247"/>
  <c r="J3247"/>
  <c r="I3247"/>
  <c r="H3247"/>
  <c r="E3247"/>
  <c r="K3246"/>
  <c r="J3246"/>
  <c r="I3246"/>
  <c r="H3246"/>
  <c r="E3246"/>
  <c r="J3245"/>
  <c r="I3245"/>
  <c r="K3245" s="1"/>
  <c r="H3245"/>
  <c r="E3245"/>
  <c r="J3244"/>
  <c r="K3244" s="1"/>
  <c r="I3244"/>
  <c r="H3244"/>
  <c r="E3244"/>
  <c r="K3243"/>
  <c r="J3243"/>
  <c r="I3243"/>
  <c r="H3243"/>
  <c r="E3243"/>
  <c r="K3242"/>
  <c r="J3242"/>
  <c r="I3242"/>
  <c r="H3242"/>
  <c r="E3242"/>
  <c r="J3241"/>
  <c r="I3241"/>
  <c r="K3241" s="1"/>
  <c r="H3241"/>
  <c r="E3241"/>
  <c r="J3240"/>
  <c r="K3240" s="1"/>
  <c r="I3240"/>
  <c r="H3240"/>
  <c r="E3240"/>
  <c r="K3239"/>
  <c r="J3239"/>
  <c r="I3239"/>
  <c r="H3239"/>
  <c r="E3239"/>
  <c r="K3238"/>
  <c r="J3238"/>
  <c r="I3238"/>
  <c r="H3238"/>
  <c r="E3238"/>
  <c r="J3237"/>
  <c r="I3237"/>
  <c r="K3237" s="1"/>
  <c r="H3237"/>
  <c r="E3237"/>
  <c r="J3236"/>
  <c r="K3236" s="1"/>
  <c r="I3236"/>
  <c r="H3236"/>
  <c r="E3236"/>
  <c r="K3235"/>
  <c r="J3235"/>
  <c r="I3235"/>
  <c r="H3235"/>
  <c r="E3235"/>
  <c r="K3234"/>
  <c r="J3234"/>
  <c r="I3234"/>
  <c r="H3234"/>
  <c r="E3234"/>
  <c r="J3233"/>
  <c r="I3233"/>
  <c r="K3233" s="1"/>
  <c r="H3233"/>
  <c r="E3233"/>
  <c r="J3232"/>
  <c r="K3232" s="1"/>
  <c r="I3232"/>
  <c r="H3232"/>
  <c r="E3232"/>
  <c r="K3231"/>
  <c r="J3231"/>
  <c r="I3231"/>
  <c r="H3231"/>
  <c r="E3231"/>
  <c r="K3230"/>
  <c r="J3230"/>
  <c r="I3230"/>
  <c r="H3230"/>
  <c r="E3230"/>
  <c r="J3229"/>
  <c r="I3229"/>
  <c r="K3229" s="1"/>
  <c r="H3229"/>
  <c r="E3229"/>
  <c r="J3228"/>
  <c r="K3228" s="1"/>
  <c r="I3228"/>
  <c r="H3228"/>
  <c r="E3228"/>
  <c r="K3227"/>
  <c r="J3227"/>
  <c r="I3227"/>
  <c r="H3227"/>
  <c r="E3227"/>
  <c r="K3226"/>
  <c r="J3226"/>
  <c r="I3226"/>
  <c r="H3226"/>
  <c r="E3226"/>
  <c r="J3225"/>
  <c r="I3225"/>
  <c r="K3225" s="1"/>
  <c r="H3225"/>
  <c r="E3225"/>
  <c r="J3224"/>
  <c r="K3224" s="1"/>
  <c r="I3224"/>
  <c r="H3224"/>
  <c r="E3224"/>
  <c r="K3223"/>
  <c r="J3223"/>
  <c r="I3223"/>
  <c r="H3223"/>
  <c r="E3223"/>
  <c r="K3222"/>
  <c r="J3222"/>
  <c r="I3222"/>
  <c r="H3222"/>
  <c r="E3222"/>
  <c r="J3221"/>
  <c r="I3221"/>
  <c r="K3221" s="1"/>
  <c r="H3221"/>
  <c r="E3221"/>
  <c r="J3220"/>
  <c r="K3220" s="1"/>
  <c r="I3220"/>
  <c r="H3220"/>
  <c r="E3220"/>
  <c r="K3219"/>
  <c r="J3219"/>
  <c r="I3219"/>
  <c r="H3219"/>
  <c r="E3219"/>
  <c r="K3218"/>
  <c r="J3218"/>
  <c r="I3218"/>
  <c r="H3218"/>
  <c r="E3218"/>
  <c r="J3217"/>
  <c r="I3217"/>
  <c r="K3217" s="1"/>
  <c r="H3217"/>
  <c r="E3217"/>
  <c r="J3216"/>
  <c r="K3216" s="1"/>
  <c r="I3216"/>
  <c r="H3216"/>
  <c r="E3216"/>
  <c r="K3215"/>
  <c r="J3215"/>
  <c r="I3215"/>
  <c r="H3215"/>
  <c r="E3215"/>
  <c r="K3214"/>
  <c r="J3214"/>
  <c r="I3214"/>
  <c r="H3214"/>
  <c r="E3214"/>
  <c r="J3213"/>
  <c r="I3213"/>
  <c r="K3213" s="1"/>
  <c r="H3213"/>
  <c r="E3213"/>
  <c r="J3212"/>
  <c r="K3212" s="1"/>
  <c r="I3212"/>
  <c r="H3212"/>
  <c r="E3212"/>
  <c r="K3211"/>
  <c r="J3211"/>
  <c r="I3211"/>
  <c r="H3211"/>
  <c r="E3211"/>
  <c r="K3210"/>
  <c r="J3210"/>
  <c r="I3210"/>
  <c r="H3210"/>
  <c r="E3210"/>
  <c r="J3209"/>
  <c r="I3209"/>
  <c r="K3209" s="1"/>
  <c r="H3209"/>
  <c r="E3209"/>
  <c r="J3208"/>
  <c r="K3208" s="1"/>
  <c r="I3208"/>
  <c r="H3208"/>
  <c r="E3208"/>
  <c r="K3207"/>
  <c r="J3207"/>
  <c r="I3207"/>
  <c r="H3207"/>
  <c r="E3207"/>
  <c r="K3206"/>
  <c r="J3206"/>
  <c r="I3206"/>
  <c r="H3206"/>
  <c r="E3206"/>
  <c r="J3205"/>
  <c r="I3205"/>
  <c r="K3205" s="1"/>
  <c r="H3205"/>
  <c r="E3205"/>
  <c r="J3204"/>
  <c r="K3204" s="1"/>
  <c r="I3204"/>
  <c r="H3204"/>
  <c r="E3204"/>
  <c r="K3203"/>
  <c r="J3203"/>
  <c r="I3203"/>
  <c r="H3203"/>
  <c r="E3203"/>
  <c r="K3202"/>
  <c r="J3202"/>
  <c r="I3202"/>
  <c r="H3202"/>
  <c r="E3202"/>
  <c r="J3201"/>
  <c r="I3201"/>
  <c r="K3201" s="1"/>
  <c r="H3201"/>
  <c r="E3201"/>
  <c r="J3200"/>
  <c r="K3200" s="1"/>
  <c r="I3200"/>
  <c r="H3200"/>
  <c r="E3200"/>
  <c r="K3199"/>
  <c r="J3199"/>
  <c r="I3199"/>
  <c r="H3199"/>
  <c r="E3199"/>
  <c r="K3198"/>
  <c r="J3198"/>
  <c r="I3198"/>
  <c r="H3198"/>
  <c r="E3198"/>
  <c r="J3197"/>
  <c r="I3197"/>
  <c r="K3197" s="1"/>
  <c r="H3197"/>
  <c r="E3197"/>
  <c r="J3196"/>
  <c r="K3196" s="1"/>
  <c r="I3196"/>
  <c r="H3196"/>
  <c r="E3196"/>
  <c r="K3195"/>
  <c r="J3195"/>
  <c r="I3195"/>
  <c r="H3195"/>
  <c r="E3195"/>
  <c r="K3194"/>
  <c r="J3194"/>
  <c r="I3194"/>
  <c r="H3194"/>
  <c r="E3194"/>
  <c r="J3193"/>
  <c r="I3193"/>
  <c r="K3193" s="1"/>
  <c r="H3193"/>
  <c r="E3193"/>
  <c r="J3192"/>
  <c r="K3192" s="1"/>
  <c r="I3192"/>
  <c r="H3192"/>
  <c r="E3192"/>
  <c r="K3191"/>
  <c r="J3191"/>
  <c r="I3191"/>
  <c r="H3191"/>
  <c r="E3191"/>
  <c r="K3190"/>
  <c r="J3190"/>
  <c r="I3190"/>
  <c r="H3190"/>
  <c r="E3190"/>
  <c r="J3189"/>
  <c r="I3189"/>
  <c r="K3189" s="1"/>
  <c r="H3189"/>
  <c r="E3189"/>
  <c r="J3188"/>
  <c r="K3188" s="1"/>
  <c r="I3188"/>
  <c r="H3188"/>
  <c r="E3188"/>
  <c r="K3187"/>
  <c r="J3187"/>
  <c r="I3187"/>
  <c r="H3187"/>
  <c r="E3187"/>
  <c r="K3186"/>
  <c r="J3186"/>
  <c r="I3186"/>
  <c r="H3186"/>
  <c r="E3186"/>
  <c r="J3185"/>
  <c r="I3185"/>
  <c r="K3185" s="1"/>
  <c r="H3185"/>
  <c r="E3185"/>
  <c r="J3184"/>
  <c r="K3184" s="1"/>
  <c r="I3184"/>
  <c r="H3184"/>
  <c r="E3184"/>
  <c r="K3183"/>
  <c r="J3183"/>
  <c r="I3183"/>
  <c r="H3183"/>
  <c r="E3183"/>
  <c r="K3182"/>
  <c r="J3182"/>
  <c r="I3182"/>
  <c r="H3182"/>
  <c r="E3182"/>
  <c r="J3181"/>
  <c r="I3181"/>
  <c r="K3181" s="1"/>
  <c r="H3181"/>
  <c r="E3181"/>
  <c r="J3180"/>
  <c r="K3180" s="1"/>
  <c r="I3180"/>
  <c r="H3180"/>
  <c r="E3180"/>
  <c r="K3179"/>
  <c r="J3179"/>
  <c r="I3179"/>
  <c r="H3179"/>
  <c r="E3179"/>
  <c r="K3178"/>
  <c r="J3178"/>
  <c r="I3178"/>
  <c r="H3178"/>
  <c r="E3178"/>
  <c r="J3177"/>
  <c r="I3177"/>
  <c r="K3177" s="1"/>
  <c r="H3177"/>
  <c r="E3177"/>
  <c r="J3176"/>
  <c r="K3176" s="1"/>
  <c r="I3176"/>
  <c r="H3176"/>
  <c r="E3176"/>
  <c r="K3175"/>
  <c r="J3175"/>
  <c r="I3175"/>
  <c r="H3175"/>
  <c r="E3175"/>
  <c r="K3174"/>
  <c r="J3174"/>
  <c r="I3174"/>
  <c r="H3174"/>
  <c r="E3174"/>
  <c r="J3173"/>
  <c r="I3173"/>
  <c r="K3173" s="1"/>
  <c r="H3173"/>
  <c r="E3173"/>
  <c r="J3172"/>
  <c r="K3172" s="1"/>
  <c r="I3172"/>
  <c r="H3172"/>
  <c r="E3172"/>
  <c r="K3171"/>
  <c r="J3171"/>
  <c r="I3171"/>
  <c r="H3171"/>
  <c r="E3171"/>
  <c r="K3170"/>
  <c r="J3170"/>
  <c r="I3170"/>
  <c r="H3170"/>
  <c r="E3170"/>
  <c r="J3169"/>
  <c r="I3169"/>
  <c r="K3169" s="1"/>
  <c r="H3169"/>
  <c r="E3169"/>
  <c r="J3168"/>
  <c r="K3168" s="1"/>
  <c r="I3168"/>
  <c r="H3168"/>
  <c r="E3168"/>
  <c r="K3167"/>
  <c r="J3167"/>
  <c r="I3167"/>
  <c r="H3167"/>
  <c r="E3167"/>
  <c r="K3166"/>
  <c r="J3166"/>
  <c r="I3166"/>
  <c r="H3166"/>
  <c r="E3166"/>
  <c r="J3165"/>
  <c r="I3165"/>
  <c r="K3165" s="1"/>
  <c r="H3165"/>
  <c r="E3165"/>
  <c r="J3164"/>
  <c r="K3164" s="1"/>
  <c r="I3164"/>
  <c r="H3164"/>
  <c r="E3164"/>
  <c r="K3163"/>
  <c r="J3163"/>
  <c r="I3163"/>
  <c r="H3163"/>
  <c r="E3163"/>
  <c r="K3162"/>
  <c r="J3162"/>
  <c r="I3162"/>
  <c r="H3162"/>
  <c r="E3162"/>
  <c r="J3161"/>
  <c r="I3161"/>
  <c r="K3161" s="1"/>
  <c r="H3161"/>
  <c r="E3161"/>
  <c r="J3160"/>
  <c r="K3160" s="1"/>
  <c r="I3160"/>
  <c r="H3160"/>
  <c r="E3160"/>
  <c r="K3159"/>
  <c r="J3159"/>
  <c r="I3159"/>
  <c r="H3159"/>
  <c r="E3159"/>
  <c r="K3158"/>
  <c r="J3158"/>
  <c r="I3158"/>
  <c r="H3158"/>
  <c r="E3158"/>
  <c r="J3157"/>
  <c r="I3157"/>
  <c r="K3157" s="1"/>
  <c r="H3157"/>
  <c r="E3157"/>
  <c r="J3156"/>
  <c r="K3156" s="1"/>
  <c r="I3156"/>
  <c r="H3156"/>
  <c r="E3156"/>
  <c r="K3155"/>
  <c r="J3155"/>
  <c r="I3155"/>
  <c r="H3155"/>
  <c r="E3155"/>
  <c r="K3154"/>
  <c r="J3154"/>
  <c r="I3154"/>
  <c r="H3154"/>
  <c r="E3154"/>
  <c r="J3153"/>
  <c r="I3153"/>
  <c r="K3153" s="1"/>
  <c r="H3153"/>
  <c r="E3153"/>
  <c r="J3152"/>
  <c r="K3152" s="1"/>
  <c r="I3152"/>
  <c r="H3152"/>
  <c r="E3152"/>
  <c r="K3151"/>
  <c r="J3151"/>
  <c r="I3151"/>
  <c r="H3151"/>
  <c r="E3151"/>
  <c r="K3150"/>
  <c r="J3150"/>
  <c r="I3150"/>
  <c r="H3150"/>
  <c r="E3150"/>
  <c r="J3149"/>
  <c r="I3149"/>
  <c r="K3149" s="1"/>
  <c r="H3149"/>
  <c r="E3149"/>
  <c r="J3148"/>
  <c r="K3148" s="1"/>
  <c r="I3148"/>
  <c r="H3148"/>
  <c r="E3148"/>
  <c r="K3147"/>
  <c r="J3147"/>
  <c r="I3147"/>
  <c r="H3147"/>
  <c r="E3147"/>
  <c r="K3146"/>
  <c r="J3146"/>
  <c r="I3146"/>
  <c r="H3146"/>
  <c r="E3146"/>
  <c r="J3145"/>
  <c r="I3145"/>
  <c r="K3145" s="1"/>
  <c r="H3145"/>
  <c r="E3145"/>
  <c r="J3144"/>
  <c r="K3144" s="1"/>
  <c r="I3144"/>
  <c r="H3144"/>
  <c r="E3144"/>
  <c r="K3143"/>
  <c r="J3143"/>
  <c r="I3143"/>
  <c r="H3143"/>
  <c r="E3143"/>
  <c r="K3142"/>
  <c r="J3142"/>
  <c r="I3142"/>
  <c r="H3142"/>
  <c r="E3142"/>
  <c r="J3141"/>
  <c r="I3141"/>
  <c r="K3141" s="1"/>
  <c r="H3141"/>
  <c r="E3141"/>
  <c r="J3140"/>
  <c r="K3140" s="1"/>
  <c r="I3140"/>
  <c r="H3140"/>
  <c r="E3140"/>
  <c r="K3139"/>
  <c r="J3139"/>
  <c r="I3139"/>
  <c r="H3139"/>
  <c r="E3139"/>
  <c r="K3138"/>
  <c r="J3138"/>
  <c r="I3138"/>
  <c r="H3138"/>
  <c r="E3138"/>
  <c r="J3137"/>
  <c r="I3137"/>
  <c r="K3137" s="1"/>
  <c r="H3137"/>
  <c r="E3137"/>
  <c r="J3136"/>
  <c r="K3136" s="1"/>
  <c r="I3136"/>
  <c r="H3136"/>
  <c r="E3136"/>
  <c r="K3135"/>
  <c r="J3135"/>
  <c r="I3135"/>
  <c r="H3135"/>
  <c r="E3135"/>
  <c r="K3134"/>
  <c r="J3134"/>
  <c r="I3134"/>
  <c r="H3134"/>
  <c r="E3134"/>
  <c r="J3133"/>
  <c r="I3133"/>
  <c r="K3133" s="1"/>
  <c r="H3133"/>
  <c r="E3133"/>
  <c r="J3132"/>
  <c r="K3132" s="1"/>
  <c r="I3132"/>
  <c r="H3132"/>
  <c r="E3132"/>
  <c r="K3131"/>
  <c r="J3131"/>
  <c r="I3131"/>
  <c r="H3131"/>
  <c r="E3131"/>
  <c r="K3130"/>
  <c r="J3130"/>
  <c r="I3130"/>
  <c r="H3130"/>
  <c r="E3130"/>
  <c r="J3129"/>
  <c r="I3129"/>
  <c r="K3129" s="1"/>
  <c r="H3129"/>
  <c r="E3129"/>
  <c r="J3128"/>
  <c r="K3128" s="1"/>
  <c r="I3128"/>
  <c r="H3128"/>
  <c r="E3128"/>
  <c r="K3127"/>
  <c r="J3127"/>
  <c r="I3127"/>
  <c r="H3127"/>
  <c r="E3127"/>
  <c r="K3126"/>
  <c r="J3126"/>
  <c r="I3126"/>
  <c r="H3126"/>
  <c r="E3126"/>
  <c r="J3125"/>
  <c r="I3125"/>
  <c r="K3125" s="1"/>
  <c r="H3125"/>
  <c r="E3125"/>
  <c r="J3124"/>
  <c r="K3124" s="1"/>
  <c r="I3124"/>
  <c r="H3124"/>
  <c r="E3124"/>
  <c r="K3123"/>
  <c r="J3123"/>
  <c r="I3123"/>
  <c r="H3123"/>
  <c r="E3123"/>
  <c r="K3122"/>
  <c r="J3122"/>
  <c r="I3122"/>
  <c r="H3122"/>
  <c r="E3122"/>
  <c r="J3121"/>
  <c r="I3121"/>
  <c r="K3121" s="1"/>
  <c r="H3121"/>
  <c r="E3121"/>
  <c r="J3120"/>
  <c r="K3120" s="1"/>
  <c r="I3120"/>
  <c r="H3120"/>
  <c r="E3120"/>
  <c r="K3119"/>
  <c r="J3119"/>
  <c r="I3119"/>
  <c r="H3119"/>
  <c r="E3119"/>
  <c r="K3118"/>
  <c r="J3118"/>
  <c r="I3118"/>
  <c r="H3118"/>
  <c r="E3118"/>
  <c r="J3117"/>
  <c r="I3117"/>
  <c r="K3117" s="1"/>
  <c r="H3117"/>
  <c r="E3117"/>
  <c r="J3116"/>
  <c r="K3116" s="1"/>
  <c r="I3116"/>
  <c r="H3116"/>
  <c r="E3116"/>
  <c r="K3115"/>
  <c r="J3115"/>
  <c r="I3115"/>
  <c r="H3115"/>
  <c r="E3115"/>
  <c r="K3114"/>
  <c r="J3114"/>
  <c r="I3114"/>
  <c r="H3114"/>
  <c r="E3114"/>
  <c r="J3113"/>
  <c r="I3113"/>
  <c r="K3113" s="1"/>
  <c r="H3113"/>
  <c r="E3113"/>
  <c r="J3112"/>
  <c r="K3112" s="1"/>
  <c r="I3112"/>
  <c r="H3112"/>
  <c r="E3112"/>
  <c r="K3111"/>
  <c r="J3111"/>
  <c r="I3111"/>
  <c r="H3111"/>
  <c r="E3111"/>
  <c r="K3110"/>
  <c r="J3110"/>
  <c r="I3110"/>
  <c r="H3110"/>
  <c r="E3110"/>
  <c r="J3109"/>
  <c r="I3109"/>
  <c r="K3109" s="1"/>
  <c r="H3109"/>
  <c r="E3109"/>
  <c r="J3108"/>
  <c r="K3108" s="1"/>
  <c r="I3108"/>
  <c r="H3108"/>
  <c r="E3108"/>
  <c r="K3107"/>
  <c r="J3107"/>
  <c r="I3107"/>
  <c r="H3107"/>
  <c r="E3107"/>
  <c r="K3106"/>
  <c r="J3106"/>
  <c r="I3106"/>
  <c r="H3106"/>
  <c r="E3106"/>
  <c r="J3105"/>
  <c r="I3105"/>
  <c r="K3105" s="1"/>
  <c r="H3105"/>
  <c r="E3105"/>
  <c r="J3104"/>
  <c r="K3104" s="1"/>
  <c r="I3104"/>
  <c r="H3104"/>
  <c r="E3104"/>
  <c r="K3103"/>
  <c r="J3103"/>
  <c r="I3103"/>
  <c r="H3103"/>
  <c r="E3103"/>
  <c r="K3102"/>
  <c r="J3102"/>
  <c r="I3102"/>
  <c r="H3102"/>
  <c r="E3102"/>
  <c r="J3101"/>
  <c r="I3101"/>
  <c r="K3101" s="1"/>
  <c r="H3101"/>
  <c r="E3101"/>
  <c r="J3100"/>
  <c r="K3100" s="1"/>
  <c r="I3100"/>
  <c r="H3100"/>
  <c r="E3100"/>
  <c r="K3099"/>
  <c r="J3099"/>
  <c r="I3099"/>
  <c r="H3099"/>
  <c r="E3099"/>
  <c r="K3098"/>
  <c r="J3098"/>
  <c r="I3098"/>
  <c r="H3098"/>
  <c r="E3098"/>
  <c r="J3097"/>
  <c r="I3097"/>
  <c r="K3097" s="1"/>
  <c r="H3097"/>
  <c r="E3097"/>
  <c r="J3096"/>
  <c r="K3096" s="1"/>
  <c r="I3096"/>
  <c r="H3096"/>
  <c r="E3096"/>
  <c r="K3095"/>
  <c r="J3095"/>
  <c r="I3095"/>
  <c r="H3095"/>
  <c r="E3095"/>
  <c r="K3094"/>
  <c r="J3094"/>
  <c r="I3094"/>
  <c r="H3094"/>
  <c r="E3094"/>
  <c r="J3093"/>
  <c r="I3093"/>
  <c r="K3093" s="1"/>
  <c r="H3093"/>
  <c r="E3093"/>
  <c r="J3092"/>
  <c r="K3092" s="1"/>
  <c r="I3092"/>
  <c r="H3092"/>
  <c r="E3092"/>
  <c r="K3091"/>
  <c r="J3091"/>
  <c r="I3091"/>
  <c r="H3091"/>
  <c r="E3091"/>
  <c r="K3090"/>
  <c r="J3090"/>
  <c r="I3090"/>
  <c r="H3090"/>
  <c r="E3090"/>
  <c r="J3089"/>
  <c r="I3089"/>
  <c r="K3089" s="1"/>
  <c r="H3089"/>
  <c r="E3089"/>
  <c r="J3088"/>
  <c r="K3088" s="1"/>
  <c r="I3088"/>
  <c r="H3088"/>
  <c r="E3088"/>
  <c r="K3087"/>
  <c r="J3087"/>
  <c r="I3087"/>
  <c r="H3087"/>
  <c r="E3087"/>
  <c r="K3086"/>
  <c r="J3086"/>
  <c r="I3086"/>
  <c r="H3086"/>
  <c r="E3086"/>
  <c r="J3085"/>
  <c r="I3085"/>
  <c r="K3085" s="1"/>
  <c r="H3085"/>
  <c r="E3085"/>
  <c r="J3084"/>
  <c r="K3084" s="1"/>
  <c r="I3084"/>
  <c r="H3084"/>
  <c r="E3084"/>
  <c r="K3083"/>
  <c r="J3083"/>
  <c r="I3083"/>
  <c r="H3083"/>
  <c r="E3083"/>
  <c r="K3082"/>
  <c r="J3082"/>
  <c r="I3082"/>
  <c r="H3082"/>
  <c r="E3082"/>
  <c r="J3081"/>
  <c r="I3081"/>
  <c r="K3081" s="1"/>
  <c r="H3081"/>
  <c r="E3081"/>
  <c r="J3080"/>
  <c r="K3080" s="1"/>
  <c r="I3080"/>
  <c r="H3080"/>
  <c r="E3080"/>
  <c r="K3079"/>
  <c r="J3079"/>
  <c r="I3079"/>
  <c r="H3079"/>
  <c r="E3079"/>
  <c r="K3078"/>
  <c r="J3078"/>
  <c r="I3078"/>
  <c r="H3078"/>
  <c r="E3078"/>
  <c r="J3077"/>
  <c r="I3077"/>
  <c r="K3077" s="1"/>
  <c r="H3077"/>
  <c r="E3077"/>
  <c r="J3076"/>
  <c r="K3076" s="1"/>
  <c r="I3076"/>
  <c r="H3076"/>
  <c r="E3076"/>
  <c r="K3075"/>
  <c r="J3075"/>
  <c r="I3075"/>
  <c r="H3075"/>
  <c r="E3075"/>
  <c r="K3074"/>
  <c r="J3074"/>
  <c r="I3074"/>
  <c r="H3074"/>
  <c r="E3074"/>
  <c r="J3073"/>
  <c r="I3073"/>
  <c r="K3073" s="1"/>
  <c r="H3073"/>
  <c r="E3073"/>
  <c r="J3072"/>
  <c r="K3072" s="1"/>
  <c r="I3072"/>
  <c r="H3072"/>
  <c r="E3072"/>
  <c r="K3071"/>
  <c r="J3071"/>
  <c r="I3071"/>
  <c r="H3071"/>
  <c r="E3071"/>
  <c r="K3070"/>
  <c r="J3070"/>
  <c r="I3070"/>
  <c r="H3070"/>
  <c r="E3070"/>
  <c r="J3069"/>
  <c r="I3069"/>
  <c r="K3069" s="1"/>
  <c r="H3069"/>
  <c r="E3069"/>
  <c r="J3068"/>
  <c r="K3068" s="1"/>
  <c r="I3068"/>
  <c r="H3068"/>
  <c r="E3068"/>
  <c r="K3067"/>
  <c r="J3067"/>
  <c r="I3067"/>
  <c r="H3067"/>
  <c r="E3067"/>
  <c r="K3066"/>
  <c r="J3066"/>
  <c r="I3066"/>
  <c r="H3066"/>
  <c r="E3066"/>
  <c r="J3065"/>
  <c r="I3065"/>
  <c r="K3065" s="1"/>
  <c r="H3065"/>
  <c r="E3065"/>
  <c r="J3064"/>
  <c r="K3064" s="1"/>
  <c r="I3064"/>
  <c r="H3064"/>
  <c r="E3064"/>
  <c r="K3063"/>
  <c r="J3063"/>
  <c r="I3063"/>
  <c r="H3063"/>
  <c r="E3063"/>
  <c r="K3062"/>
  <c r="J3062"/>
  <c r="I3062"/>
  <c r="H3062"/>
  <c r="E3062"/>
  <c r="J3061"/>
  <c r="I3061"/>
  <c r="K3061" s="1"/>
  <c r="H3061"/>
  <c r="E3061"/>
  <c r="J3060"/>
  <c r="K3060" s="1"/>
  <c r="I3060"/>
  <c r="H3060"/>
  <c r="E3060"/>
  <c r="K3059"/>
  <c r="J3059"/>
  <c r="I3059"/>
  <c r="H3059"/>
  <c r="E3059"/>
  <c r="K3058"/>
  <c r="J3058"/>
  <c r="I3058"/>
  <c r="H3058"/>
  <c r="E3058"/>
  <c r="J3057"/>
  <c r="I3057"/>
  <c r="K3057" s="1"/>
  <c r="H3057"/>
  <c r="E3057"/>
  <c r="J3056"/>
  <c r="K3056" s="1"/>
  <c r="I3056"/>
  <c r="H3056"/>
  <c r="E3056"/>
  <c r="K3055"/>
  <c r="J3055"/>
  <c r="I3055"/>
  <c r="H3055"/>
  <c r="E3055"/>
  <c r="K3054"/>
  <c r="J3054"/>
  <c r="I3054"/>
  <c r="H3054"/>
  <c r="E3054"/>
  <c r="J3053"/>
  <c r="I3053"/>
  <c r="K3053" s="1"/>
  <c r="H3053"/>
  <c r="E3053"/>
  <c r="J3052"/>
  <c r="K3052" s="1"/>
  <c r="I3052"/>
  <c r="H3052"/>
  <c r="E3052"/>
  <c r="K3051"/>
  <c r="J3051"/>
  <c r="I3051"/>
  <c r="H3051"/>
  <c r="E3051"/>
  <c r="K3050"/>
  <c r="J3050"/>
  <c r="I3050"/>
  <c r="H3050"/>
  <c r="E3050"/>
  <c r="J3049"/>
  <c r="I3049"/>
  <c r="K3049" s="1"/>
  <c r="H3049"/>
  <c r="E3049"/>
  <c r="J3048"/>
  <c r="K3048" s="1"/>
  <c r="I3048"/>
  <c r="H3048"/>
  <c r="E3048"/>
  <c r="K3047"/>
  <c r="J3047"/>
  <c r="I3047"/>
  <c r="H3047"/>
  <c r="E3047"/>
  <c r="K3046"/>
  <c r="J3046"/>
  <c r="I3046"/>
  <c r="H3046"/>
  <c r="E3046"/>
  <c r="J3045"/>
  <c r="I3045"/>
  <c r="K3045" s="1"/>
  <c r="H3045"/>
  <c r="E3045"/>
  <c r="J3044"/>
  <c r="K3044" s="1"/>
  <c r="I3044"/>
  <c r="H3044"/>
  <c r="E3044"/>
  <c r="K3043"/>
  <c r="J3043"/>
  <c r="I3043"/>
  <c r="H3043"/>
  <c r="E3043"/>
  <c r="K3042"/>
  <c r="J3042"/>
  <c r="H3042"/>
  <c r="E3042"/>
  <c r="K3041"/>
  <c r="J3041"/>
  <c r="H3041"/>
  <c r="E3041"/>
  <c r="K3040"/>
  <c r="J3040"/>
  <c r="I3040"/>
  <c r="H3040"/>
  <c r="E3040"/>
  <c r="J3039"/>
  <c r="I3039"/>
  <c r="K3039" s="1"/>
  <c r="H3039"/>
  <c r="E3039"/>
  <c r="J3038"/>
  <c r="K3038" s="1"/>
  <c r="H3038"/>
  <c r="E3038"/>
  <c r="J3037"/>
  <c r="K3037" s="1"/>
  <c r="I3037"/>
  <c r="H3037"/>
  <c r="E3037"/>
  <c r="K3036"/>
  <c r="J3036"/>
  <c r="I3036"/>
  <c r="H3036"/>
  <c r="E3036"/>
  <c r="K3035"/>
  <c r="J3035"/>
  <c r="I3035"/>
  <c r="H3035"/>
  <c r="E3035"/>
  <c r="J3034"/>
  <c r="I3034"/>
  <c r="K3034" s="1"/>
  <c r="H3034"/>
  <c r="E3034"/>
  <c r="J3033"/>
  <c r="K3033" s="1"/>
  <c r="I3033"/>
  <c r="H3033"/>
  <c r="E3033"/>
  <c r="K3032"/>
  <c r="J3032"/>
  <c r="I3032"/>
  <c r="H3032"/>
  <c r="E3032"/>
  <c r="K3031"/>
  <c r="J3031"/>
  <c r="I3031"/>
  <c r="H3031"/>
  <c r="E3031"/>
  <c r="J3030"/>
  <c r="I3030"/>
  <c r="K3030" s="1"/>
  <c r="H3030"/>
  <c r="E3030"/>
  <c r="J3029"/>
  <c r="K3029" s="1"/>
  <c r="I3029"/>
  <c r="H3029"/>
  <c r="E3029"/>
  <c r="K3028"/>
  <c r="J3028"/>
  <c r="I3028"/>
  <c r="H3028"/>
  <c r="E3028"/>
  <c r="K3027"/>
  <c r="J3027"/>
  <c r="J3323" s="1"/>
  <c r="I3027"/>
  <c r="H3027"/>
  <c r="E3027"/>
  <c r="D3015"/>
  <c r="D3014"/>
  <c r="G3013"/>
  <c r="H3013" s="1"/>
  <c r="F3013"/>
  <c r="D3013"/>
  <c r="D3016" s="1"/>
  <c r="C3013"/>
  <c r="J3012"/>
  <c r="K3012" s="1"/>
  <c r="I3012"/>
  <c r="H3012"/>
  <c r="J3011"/>
  <c r="K3011" s="1"/>
  <c r="I3011"/>
  <c r="H3011"/>
  <c r="J3010"/>
  <c r="K3010" s="1"/>
  <c r="I3010"/>
  <c r="H3010"/>
  <c r="J3009"/>
  <c r="K3009" s="1"/>
  <c r="I3009"/>
  <c r="H3009"/>
  <c r="J3008"/>
  <c r="K3008" s="1"/>
  <c r="I3008"/>
  <c r="H3008"/>
  <c r="J3007"/>
  <c r="K3007" s="1"/>
  <c r="I3007"/>
  <c r="H3007"/>
  <c r="J3006"/>
  <c r="K3006" s="1"/>
  <c r="I3006"/>
  <c r="H3006"/>
  <c r="J3005"/>
  <c r="K3005" s="1"/>
  <c r="I3005"/>
  <c r="H3005"/>
  <c r="J3004"/>
  <c r="K3004" s="1"/>
  <c r="I3004"/>
  <c r="H3004"/>
  <c r="J3003"/>
  <c r="K3003" s="1"/>
  <c r="I3003"/>
  <c r="H3003"/>
  <c r="J3002"/>
  <c r="K3002" s="1"/>
  <c r="I3002"/>
  <c r="H3002"/>
  <c r="J3001"/>
  <c r="K3001" s="1"/>
  <c r="I3001"/>
  <c r="H3001"/>
  <c r="J3000"/>
  <c r="K3000" s="1"/>
  <c r="I3000"/>
  <c r="H3000"/>
  <c r="J2999"/>
  <c r="K2999" s="1"/>
  <c r="I2999"/>
  <c r="H2999"/>
  <c r="J2998"/>
  <c r="J3013" s="1"/>
  <c r="I2998"/>
  <c r="I3013" s="1"/>
  <c r="H2998"/>
  <c r="F2996"/>
  <c r="F3014" s="1"/>
  <c r="E2996"/>
  <c r="D2996"/>
  <c r="C2996"/>
  <c r="C3014" s="1"/>
  <c r="K2995"/>
  <c r="J2995"/>
  <c r="I2995"/>
  <c r="H2995"/>
  <c r="E2995"/>
  <c r="K2994"/>
  <c r="J2994"/>
  <c r="I2994"/>
  <c r="H2994"/>
  <c r="E2994"/>
  <c r="J2993"/>
  <c r="K2993" s="1"/>
  <c r="I2993"/>
  <c r="H2993"/>
  <c r="E2993"/>
  <c r="J2992"/>
  <c r="K2992" s="1"/>
  <c r="I2992"/>
  <c r="H2992"/>
  <c r="E2992"/>
  <c r="K2991"/>
  <c r="J2991"/>
  <c r="I2991"/>
  <c r="H2991"/>
  <c r="E2991"/>
  <c r="K2990"/>
  <c r="J2990"/>
  <c r="I2990"/>
  <c r="H2990"/>
  <c r="E2990"/>
  <c r="J2989"/>
  <c r="K2989" s="1"/>
  <c r="I2989"/>
  <c r="H2989"/>
  <c r="E2989"/>
  <c r="J2988"/>
  <c r="K2988" s="1"/>
  <c r="I2988"/>
  <c r="H2988"/>
  <c r="E2988"/>
  <c r="K2987"/>
  <c r="J2987"/>
  <c r="I2987"/>
  <c r="H2987"/>
  <c r="E2987"/>
  <c r="K2986"/>
  <c r="J2986"/>
  <c r="I2986"/>
  <c r="H2986"/>
  <c r="E2986"/>
  <c r="J2985"/>
  <c r="K2985" s="1"/>
  <c r="I2985"/>
  <c r="H2985"/>
  <c r="E2985"/>
  <c r="J2984"/>
  <c r="K2984" s="1"/>
  <c r="I2984"/>
  <c r="H2984"/>
  <c r="E2984"/>
  <c r="K2983"/>
  <c r="J2983"/>
  <c r="I2983"/>
  <c r="H2983"/>
  <c r="E2983"/>
  <c r="K2982"/>
  <c r="J2982"/>
  <c r="I2982"/>
  <c r="H2982"/>
  <c r="E2982"/>
  <c r="J2981"/>
  <c r="K2981" s="1"/>
  <c r="I2981"/>
  <c r="H2981"/>
  <c r="E2981"/>
  <c r="J2980"/>
  <c r="K2980" s="1"/>
  <c r="I2980"/>
  <c r="H2980"/>
  <c r="E2980"/>
  <c r="K2979"/>
  <c r="J2979"/>
  <c r="I2979"/>
  <c r="H2979"/>
  <c r="E2979"/>
  <c r="K2978"/>
  <c r="J2978"/>
  <c r="I2978"/>
  <c r="H2978"/>
  <c r="E2978"/>
  <c r="J2977"/>
  <c r="K2977" s="1"/>
  <c r="I2977"/>
  <c r="H2977"/>
  <c r="E2977"/>
  <c r="J2976"/>
  <c r="K2976" s="1"/>
  <c r="I2976"/>
  <c r="H2976"/>
  <c r="E2976"/>
  <c r="K2975"/>
  <c r="J2975"/>
  <c r="I2975"/>
  <c r="H2975"/>
  <c r="E2975"/>
  <c r="K2974"/>
  <c r="J2974"/>
  <c r="I2974"/>
  <c r="H2974"/>
  <c r="E2974"/>
  <c r="J2973"/>
  <c r="K2973" s="1"/>
  <c r="I2973"/>
  <c r="H2973"/>
  <c r="E2973"/>
  <c r="J2972"/>
  <c r="K2972" s="1"/>
  <c r="I2972"/>
  <c r="H2972"/>
  <c r="E2972"/>
  <c r="K2971"/>
  <c r="J2971"/>
  <c r="I2971"/>
  <c r="H2971"/>
  <c r="E2971"/>
  <c r="K2970"/>
  <c r="J2970"/>
  <c r="I2970"/>
  <c r="H2970"/>
  <c r="E2970"/>
  <c r="J2969"/>
  <c r="K2969" s="1"/>
  <c r="I2969"/>
  <c r="H2969"/>
  <c r="E2969"/>
  <c r="J2968"/>
  <c r="K2968" s="1"/>
  <c r="I2968"/>
  <c r="H2968"/>
  <c r="E2968"/>
  <c r="K2967"/>
  <c r="J2967"/>
  <c r="I2967"/>
  <c r="H2967"/>
  <c r="E2967"/>
  <c r="K2966"/>
  <c r="J2966"/>
  <c r="I2966"/>
  <c r="H2966"/>
  <c r="E2966"/>
  <c r="J2965"/>
  <c r="K2965" s="1"/>
  <c r="I2965"/>
  <c r="H2965"/>
  <c r="E2965"/>
  <c r="J2964"/>
  <c r="K2964" s="1"/>
  <c r="I2964"/>
  <c r="H2964"/>
  <c r="E2964"/>
  <c r="K2963"/>
  <c r="J2963"/>
  <c r="I2963"/>
  <c r="H2963"/>
  <c r="E2963"/>
  <c r="K2962"/>
  <c r="J2962"/>
  <c r="I2962"/>
  <c r="H2962"/>
  <c r="E2962"/>
  <c r="J2961"/>
  <c r="K2961" s="1"/>
  <c r="I2961"/>
  <c r="H2961"/>
  <c r="E2961"/>
  <c r="J2960"/>
  <c r="K2960" s="1"/>
  <c r="I2960"/>
  <c r="H2960"/>
  <c r="E2960"/>
  <c r="K2959"/>
  <c r="J2959"/>
  <c r="I2959"/>
  <c r="H2959"/>
  <c r="E2959"/>
  <c r="K2958"/>
  <c r="J2958"/>
  <c r="I2958"/>
  <c r="H2958"/>
  <c r="E2958"/>
  <c r="J2957"/>
  <c r="K2957" s="1"/>
  <c r="I2957"/>
  <c r="H2957"/>
  <c r="E2957"/>
  <c r="J2956"/>
  <c r="K2956" s="1"/>
  <c r="I2956"/>
  <c r="H2956"/>
  <c r="E2956"/>
  <c r="K2955"/>
  <c r="J2955"/>
  <c r="I2955"/>
  <c r="H2955"/>
  <c r="E2955"/>
  <c r="K2954"/>
  <c r="J2954"/>
  <c r="I2954"/>
  <c r="H2954"/>
  <c r="E2954"/>
  <c r="J2953"/>
  <c r="K2953" s="1"/>
  <c r="I2953"/>
  <c r="H2953"/>
  <c r="E2953"/>
  <c r="J2952"/>
  <c r="K2952" s="1"/>
  <c r="I2952"/>
  <c r="H2952"/>
  <c r="E2952"/>
  <c r="K2951"/>
  <c r="J2951"/>
  <c r="I2951"/>
  <c r="H2951"/>
  <c r="E2951"/>
  <c r="K2950"/>
  <c r="J2950"/>
  <c r="I2950"/>
  <c r="H2950"/>
  <c r="E2950"/>
  <c r="J2949"/>
  <c r="I2949"/>
  <c r="K2949" s="1"/>
  <c r="H2949"/>
  <c r="E2949"/>
  <c r="J2948"/>
  <c r="K2948" s="1"/>
  <c r="I2948"/>
  <c r="H2948"/>
  <c r="E2948"/>
  <c r="K2947"/>
  <c r="J2947"/>
  <c r="I2947"/>
  <c r="H2947"/>
  <c r="E2947"/>
  <c r="K2946"/>
  <c r="J2946"/>
  <c r="I2946"/>
  <c r="H2946"/>
  <c r="E2946"/>
  <c r="J2945"/>
  <c r="I2945"/>
  <c r="K2945" s="1"/>
  <c r="H2945"/>
  <c r="E2945"/>
  <c r="J2944"/>
  <c r="K2944" s="1"/>
  <c r="I2944"/>
  <c r="H2944"/>
  <c r="E2944"/>
  <c r="I2943"/>
  <c r="G2943"/>
  <c r="J2943" s="1"/>
  <c r="K2943" s="1"/>
  <c r="E2943"/>
  <c r="J2942"/>
  <c r="I2942"/>
  <c r="K2942" s="1"/>
  <c r="H2942"/>
  <c r="E2942"/>
  <c r="J2941"/>
  <c r="K2941" s="1"/>
  <c r="I2941"/>
  <c r="H2941"/>
  <c r="E2941"/>
  <c r="I2940"/>
  <c r="G2940"/>
  <c r="J2940" s="1"/>
  <c r="K2940" s="1"/>
  <c r="E2940"/>
  <c r="J2939"/>
  <c r="K2939" s="1"/>
  <c r="I2939"/>
  <c r="H2939"/>
  <c r="E2939"/>
  <c r="J2938"/>
  <c r="K2938" s="1"/>
  <c r="I2938"/>
  <c r="H2938"/>
  <c r="E2938"/>
  <c r="K2937"/>
  <c r="J2937"/>
  <c r="I2937"/>
  <c r="H2937"/>
  <c r="E2937"/>
  <c r="K2936"/>
  <c r="J2936"/>
  <c r="I2936"/>
  <c r="H2936"/>
  <c r="E2936"/>
  <c r="J2935"/>
  <c r="K2935" s="1"/>
  <c r="I2935"/>
  <c r="H2935"/>
  <c r="E2935"/>
  <c r="J2934"/>
  <c r="K2934" s="1"/>
  <c r="I2934"/>
  <c r="H2934"/>
  <c r="E2934"/>
  <c r="K2933"/>
  <c r="J2933"/>
  <c r="I2933"/>
  <c r="H2933"/>
  <c r="E2933"/>
  <c r="K2932"/>
  <c r="J2932"/>
  <c r="I2932"/>
  <c r="H2932"/>
  <c r="E2932"/>
  <c r="J2931"/>
  <c r="K2931" s="1"/>
  <c r="I2931"/>
  <c r="H2931"/>
  <c r="E2931"/>
  <c r="J2930"/>
  <c r="K2930" s="1"/>
  <c r="I2930"/>
  <c r="H2930"/>
  <c r="E2930"/>
  <c r="K2929"/>
  <c r="J2929"/>
  <c r="I2929"/>
  <c r="H2929"/>
  <c r="E2929"/>
  <c r="K2928"/>
  <c r="J2928"/>
  <c r="I2928"/>
  <c r="H2928"/>
  <c r="E2928"/>
  <c r="J2927"/>
  <c r="K2927" s="1"/>
  <c r="I2927"/>
  <c r="H2927"/>
  <c r="G2927"/>
  <c r="G2996" s="1"/>
  <c r="E2927"/>
  <c r="K2926"/>
  <c r="J2926"/>
  <c r="I2926"/>
  <c r="H2926"/>
  <c r="E2926"/>
  <c r="K2925"/>
  <c r="J2925"/>
  <c r="I2925"/>
  <c r="H2925"/>
  <c r="E2925"/>
  <c r="J2924"/>
  <c r="K2924" s="1"/>
  <c r="I2924"/>
  <c r="H2924"/>
  <c r="E2924"/>
  <c r="J2923"/>
  <c r="K2923" s="1"/>
  <c r="I2923"/>
  <c r="H2923"/>
  <c r="E2923"/>
  <c r="K2922"/>
  <c r="J2922"/>
  <c r="I2922"/>
  <c r="H2922"/>
  <c r="E2922"/>
  <c r="K2921"/>
  <c r="J2921"/>
  <c r="I2921"/>
  <c r="H2921"/>
  <c r="E2921"/>
  <c r="J2920"/>
  <c r="K2920" s="1"/>
  <c r="I2920"/>
  <c r="H2920"/>
  <c r="E2920"/>
  <c r="J2919"/>
  <c r="K2919" s="1"/>
  <c r="I2919"/>
  <c r="H2919"/>
  <c r="E2919"/>
  <c r="K2918"/>
  <c r="J2918"/>
  <c r="I2918"/>
  <c r="H2918"/>
  <c r="E2918"/>
  <c r="K2917"/>
  <c r="J2917"/>
  <c r="I2917"/>
  <c r="H2917"/>
  <c r="E2917"/>
  <c r="J2916"/>
  <c r="K2916" s="1"/>
  <c r="I2916"/>
  <c r="H2916"/>
  <c r="E2916"/>
  <c r="J2915"/>
  <c r="K2915" s="1"/>
  <c r="I2915"/>
  <c r="H2915"/>
  <c r="E2915"/>
  <c r="K2914"/>
  <c r="J2914"/>
  <c r="I2914"/>
  <c r="H2914"/>
  <c r="E2914"/>
  <c r="K2913"/>
  <c r="J2913"/>
  <c r="I2913"/>
  <c r="H2913"/>
  <c r="E2913"/>
  <c r="J2912"/>
  <c r="K2912" s="1"/>
  <c r="I2912"/>
  <c r="H2912"/>
  <c r="E2912"/>
  <c r="J2911"/>
  <c r="K2911" s="1"/>
  <c r="I2911"/>
  <c r="H2911"/>
  <c r="E2911"/>
  <c r="K2910"/>
  <c r="J2910"/>
  <c r="I2910"/>
  <c r="H2910"/>
  <c r="E2910"/>
  <c r="K2909"/>
  <c r="J2909"/>
  <c r="I2909"/>
  <c r="H2909"/>
  <c r="E2909"/>
  <c r="J2908"/>
  <c r="K2908" s="1"/>
  <c r="I2908"/>
  <c r="I2996" s="1"/>
  <c r="H2908"/>
  <c r="E2908"/>
  <c r="G2906"/>
  <c r="H2906" s="1"/>
  <c r="F2906"/>
  <c r="F3015" s="1"/>
  <c r="E2906"/>
  <c r="D2906"/>
  <c r="C2906"/>
  <c r="C3015" s="1"/>
  <c r="K2905"/>
  <c r="J2905"/>
  <c r="I2905"/>
  <c r="H2905"/>
  <c r="E2905"/>
  <c r="K2904"/>
  <c r="J2904"/>
  <c r="I2904"/>
  <c r="H2904"/>
  <c r="E2904"/>
  <c r="J2903"/>
  <c r="K2903" s="1"/>
  <c r="I2903"/>
  <c r="H2903"/>
  <c r="E2903"/>
  <c r="J2902"/>
  <c r="K2902" s="1"/>
  <c r="I2902"/>
  <c r="H2902"/>
  <c r="E2902"/>
  <c r="K2901"/>
  <c r="J2901"/>
  <c r="I2901"/>
  <c r="H2901"/>
  <c r="E2901"/>
  <c r="K2900"/>
  <c r="J2900"/>
  <c r="I2900"/>
  <c r="H2900"/>
  <c r="E2900"/>
  <c r="J2899"/>
  <c r="K2899" s="1"/>
  <c r="I2899"/>
  <c r="H2899"/>
  <c r="E2899"/>
  <c r="J2898"/>
  <c r="K2898" s="1"/>
  <c r="I2898"/>
  <c r="H2898"/>
  <c r="E2898"/>
  <c r="K2897"/>
  <c r="J2897"/>
  <c r="I2897"/>
  <c r="H2897"/>
  <c r="E2897"/>
  <c r="K2896"/>
  <c r="J2896"/>
  <c r="I2896"/>
  <c r="H2896"/>
  <c r="E2896"/>
  <c r="J2895"/>
  <c r="K2895" s="1"/>
  <c r="I2895"/>
  <c r="H2895"/>
  <c r="E2895"/>
  <c r="J2894"/>
  <c r="K2894" s="1"/>
  <c r="I2894"/>
  <c r="H2894"/>
  <c r="E2894"/>
  <c r="K2893"/>
  <c r="J2893"/>
  <c r="I2893"/>
  <c r="H2893"/>
  <c r="E2893"/>
  <c r="K2892"/>
  <c r="J2892"/>
  <c r="I2892"/>
  <c r="H2892"/>
  <c r="E2892"/>
  <c r="J2891"/>
  <c r="K2891" s="1"/>
  <c r="I2891"/>
  <c r="H2891"/>
  <c r="E2891"/>
  <c r="J2890"/>
  <c r="K2890" s="1"/>
  <c r="I2890"/>
  <c r="H2890"/>
  <c r="E2890"/>
  <c r="K2889"/>
  <c r="J2889"/>
  <c r="I2889"/>
  <c r="H2889"/>
  <c r="E2889"/>
  <c r="K2888"/>
  <c r="J2888"/>
  <c r="I2888"/>
  <c r="H2888"/>
  <c r="E2888"/>
  <c r="J2887"/>
  <c r="K2887" s="1"/>
  <c r="I2887"/>
  <c r="H2887"/>
  <c r="E2887"/>
  <c r="J2886"/>
  <c r="K2886" s="1"/>
  <c r="I2886"/>
  <c r="H2886"/>
  <c r="E2886"/>
  <c r="K2885"/>
  <c r="J2885"/>
  <c r="I2885"/>
  <c r="H2885"/>
  <c r="E2885"/>
  <c r="K2884"/>
  <c r="J2884"/>
  <c r="I2884"/>
  <c r="H2884"/>
  <c r="E2884"/>
  <c r="J2883"/>
  <c r="K2883" s="1"/>
  <c r="I2883"/>
  <c r="H2883"/>
  <c r="E2883"/>
  <c r="J2882"/>
  <c r="K2882" s="1"/>
  <c r="I2882"/>
  <c r="H2882"/>
  <c r="E2882"/>
  <c r="K2881"/>
  <c r="J2881"/>
  <c r="I2881"/>
  <c r="H2881"/>
  <c r="E2881"/>
  <c r="K2880"/>
  <c r="J2880"/>
  <c r="I2880"/>
  <c r="H2880"/>
  <c r="E2880"/>
  <c r="J2879"/>
  <c r="K2879" s="1"/>
  <c r="I2879"/>
  <c r="H2879"/>
  <c r="E2879"/>
  <c r="J2878"/>
  <c r="K2878" s="1"/>
  <c r="I2878"/>
  <c r="H2878"/>
  <c r="E2878"/>
  <c r="K2877"/>
  <c r="J2877"/>
  <c r="I2877"/>
  <c r="H2877"/>
  <c r="E2877"/>
  <c r="K2876"/>
  <c r="J2876"/>
  <c r="H2876"/>
  <c r="E2876"/>
  <c r="K2875"/>
  <c r="J2875"/>
  <c r="I2875"/>
  <c r="H2875"/>
  <c r="E2875"/>
  <c r="J2874"/>
  <c r="I2874"/>
  <c r="K2874" s="1"/>
  <c r="H2874"/>
  <c r="E2874"/>
  <c r="J2873"/>
  <c r="K2873" s="1"/>
  <c r="I2873"/>
  <c r="H2873"/>
  <c r="E2873"/>
  <c r="K2872"/>
  <c r="J2872"/>
  <c r="I2872"/>
  <c r="H2872"/>
  <c r="E2872"/>
  <c r="K2871"/>
  <c r="J2871"/>
  <c r="I2871"/>
  <c r="H2871"/>
  <c r="E2871"/>
  <c r="J2870"/>
  <c r="K2870" s="1"/>
  <c r="I2870"/>
  <c r="H2870"/>
  <c r="E2870"/>
  <c r="J2869"/>
  <c r="K2869" s="1"/>
  <c r="I2869"/>
  <c r="H2869"/>
  <c r="E2869"/>
  <c r="K2868"/>
  <c r="J2868"/>
  <c r="I2868"/>
  <c r="H2868"/>
  <c r="E2868"/>
  <c r="K2867"/>
  <c r="J2867"/>
  <c r="I2867"/>
  <c r="H2867"/>
  <c r="E2867"/>
  <c r="J2866"/>
  <c r="I2866"/>
  <c r="K2866" s="1"/>
  <c r="H2866"/>
  <c r="E2866"/>
  <c r="J2865"/>
  <c r="K2865" s="1"/>
  <c r="I2865"/>
  <c r="H2865"/>
  <c r="E2865"/>
  <c r="K2864"/>
  <c r="J2864"/>
  <c r="I2864"/>
  <c r="H2864"/>
  <c r="E2864"/>
  <c r="K2863"/>
  <c r="J2863"/>
  <c r="I2863"/>
  <c r="H2863"/>
  <c r="E2863"/>
  <c r="J2862"/>
  <c r="I2862"/>
  <c r="K2862" s="1"/>
  <c r="H2862"/>
  <c r="E2862"/>
  <c r="J2861"/>
  <c r="K2861" s="1"/>
  <c r="I2861"/>
  <c r="H2861"/>
  <c r="E2861"/>
  <c r="K2860"/>
  <c r="J2860"/>
  <c r="I2860"/>
  <c r="H2860"/>
  <c r="E2860"/>
  <c r="K2859"/>
  <c r="J2859"/>
  <c r="I2859"/>
  <c r="H2859"/>
  <c r="E2859"/>
  <c r="J2858"/>
  <c r="I2858"/>
  <c r="K2858" s="1"/>
  <c r="H2858"/>
  <c r="E2858"/>
  <c r="J2857"/>
  <c r="K2857" s="1"/>
  <c r="I2857"/>
  <c r="H2857"/>
  <c r="E2857"/>
  <c r="K2856"/>
  <c r="J2856"/>
  <c r="I2856"/>
  <c r="H2856"/>
  <c r="E2856"/>
  <c r="K2855"/>
  <c r="J2855"/>
  <c r="I2855"/>
  <c r="H2855"/>
  <c r="E2855"/>
  <c r="J2854"/>
  <c r="I2854"/>
  <c r="K2854" s="1"/>
  <c r="H2854"/>
  <c r="E2854"/>
  <c r="J2853"/>
  <c r="K2853" s="1"/>
  <c r="I2853"/>
  <c r="H2853"/>
  <c r="E2853"/>
  <c r="K2852"/>
  <c r="J2852"/>
  <c r="I2852"/>
  <c r="H2852"/>
  <c r="E2852"/>
  <c r="K2851"/>
  <c r="J2851"/>
  <c r="I2851"/>
  <c r="H2851"/>
  <c r="E2851"/>
  <c r="J2850"/>
  <c r="I2850"/>
  <c r="K2850" s="1"/>
  <c r="H2850"/>
  <c r="E2850"/>
  <c r="J2849"/>
  <c r="K2849" s="1"/>
  <c r="I2849"/>
  <c r="H2849"/>
  <c r="E2849"/>
  <c r="K2848"/>
  <c r="J2848"/>
  <c r="I2848"/>
  <c r="H2848"/>
  <c r="E2848"/>
  <c r="K2847"/>
  <c r="J2847"/>
  <c r="I2847"/>
  <c r="H2847"/>
  <c r="E2847"/>
  <c r="J2846"/>
  <c r="I2846"/>
  <c r="K2846" s="1"/>
  <c r="H2846"/>
  <c r="E2846"/>
  <c r="J2845"/>
  <c r="K2845" s="1"/>
  <c r="I2845"/>
  <c r="H2845"/>
  <c r="E2845"/>
  <c r="K2844"/>
  <c r="J2844"/>
  <c r="I2844"/>
  <c r="H2844"/>
  <c r="E2844"/>
  <c r="K2843"/>
  <c r="J2843"/>
  <c r="I2843"/>
  <c r="H2843"/>
  <c r="E2843"/>
  <c r="J2842"/>
  <c r="I2842"/>
  <c r="K2842" s="1"/>
  <c r="H2842"/>
  <c r="E2842"/>
  <c r="J2841"/>
  <c r="K2841" s="1"/>
  <c r="I2841"/>
  <c r="H2841"/>
  <c r="E2841"/>
  <c r="K2840"/>
  <c r="J2840"/>
  <c r="I2840"/>
  <c r="H2840"/>
  <c r="E2840"/>
  <c r="K2839"/>
  <c r="J2839"/>
  <c r="I2839"/>
  <c r="H2839"/>
  <c r="E2839"/>
  <c r="J2838"/>
  <c r="I2838"/>
  <c r="K2838" s="1"/>
  <c r="H2838"/>
  <c r="E2838"/>
  <c r="J2837"/>
  <c r="K2837" s="1"/>
  <c r="I2837"/>
  <c r="H2837"/>
  <c r="E2837"/>
  <c r="K2836"/>
  <c r="J2836"/>
  <c r="I2836"/>
  <c r="H2836"/>
  <c r="E2836"/>
  <c r="K2835"/>
  <c r="J2835"/>
  <c r="I2835"/>
  <c r="H2835"/>
  <c r="E2835"/>
  <c r="J2834"/>
  <c r="I2834"/>
  <c r="K2834" s="1"/>
  <c r="H2834"/>
  <c r="E2834"/>
  <c r="J2833"/>
  <c r="K2833" s="1"/>
  <c r="I2833"/>
  <c r="H2833"/>
  <c r="E2833"/>
  <c r="K2832"/>
  <c r="J2832"/>
  <c r="I2832"/>
  <c r="H2832"/>
  <c r="E2832"/>
  <c r="K2831"/>
  <c r="J2831"/>
  <c r="I2831"/>
  <c r="H2831"/>
  <c r="E2831"/>
  <c r="J2830"/>
  <c r="I2830"/>
  <c r="K2830" s="1"/>
  <c r="H2830"/>
  <c r="E2830"/>
  <c r="J2829"/>
  <c r="K2829" s="1"/>
  <c r="I2829"/>
  <c r="H2829"/>
  <c r="E2829"/>
  <c r="K2828"/>
  <c r="J2828"/>
  <c r="I2828"/>
  <c r="H2828"/>
  <c r="E2828"/>
  <c r="K2827"/>
  <c r="J2827"/>
  <c r="I2827"/>
  <c r="H2827"/>
  <c r="E2827"/>
  <c r="J2826"/>
  <c r="I2826"/>
  <c r="K2826" s="1"/>
  <c r="H2826"/>
  <c r="E2826"/>
  <c r="J2825"/>
  <c r="K2825" s="1"/>
  <c r="I2825"/>
  <c r="H2825"/>
  <c r="E2825"/>
  <c r="K2824"/>
  <c r="J2824"/>
  <c r="I2824"/>
  <c r="H2824"/>
  <c r="E2824"/>
  <c r="K2823"/>
  <c r="J2823"/>
  <c r="I2823"/>
  <c r="H2823"/>
  <c r="E2823"/>
  <c r="J2822"/>
  <c r="I2822"/>
  <c r="K2822" s="1"/>
  <c r="H2822"/>
  <c r="E2822"/>
  <c r="J2821"/>
  <c r="K2821" s="1"/>
  <c r="I2821"/>
  <c r="H2821"/>
  <c r="E2821"/>
  <c r="K2820"/>
  <c r="J2820"/>
  <c r="I2820"/>
  <c r="H2820"/>
  <c r="E2820"/>
  <c r="K2819"/>
  <c r="J2819"/>
  <c r="I2819"/>
  <c r="H2819"/>
  <c r="E2819"/>
  <c r="J2818"/>
  <c r="K2818" s="1"/>
  <c r="I2818"/>
  <c r="H2818"/>
  <c r="E2818"/>
  <c r="J2817"/>
  <c r="K2817" s="1"/>
  <c r="I2817"/>
  <c r="H2817"/>
  <c r="E2817"/>
  <c r="K2816"/>
  <c r="J2816"/>
  <c r="I2816"/>
  <c r="H2816"/>
  <c r="E2816"/>
  <c r="K2815"/>
  <c r="J2815"/>
  <c r="I2815"/>
  <c r="H2815"/>
  <c r="E2815"/>
  <c r="J2814"/>
  <c r="I2814"/>
  <c r="K2814" s="1"/>
  <c r="H2814"/>
  <c r="E2814"/>
  <c r="J2813"/>
  <c r="K2813" s="1"/>
  <c r="I2813"/>
  <c r="H2813"/>
  <c r="E2813"/>
  <c r="K2812"/>
  <c r="J2812"/>
  <c r="I2812"/>
  <c r="H2812"/>
  <c r="E2812"/>
  <c r="K2811"/>
  <c r="J2811"/>
  <c r="I2811"/>
  <c r="H2811"/>
  <c r="E2811"/>
  <c r="J2810"/>
  <c r="I2810"/>
  <c r="K2810" s="1"/>
  <c r="H2810"/>
  <c r="E2810"/>
  <c r="J2809"/>
  <c r="K2809" s="1"/>
  <c r="I2809"/>
  <c r="H2809"/>
  <c r="E2809"/>
  <c r="K2808"/>
  <c r="J2808"/>
  <c r="I2808"/>
  <c r="H2808"/>
  <c r="E2808"/>
  <c r="K2807"/>
  <c r="J2807"/>
  <c r="I2807"/>
  <c r="H2807"/>
  <c r="E2807"/>
  <c r="J2806"/>
  <c r="I2806"/>
  <c r="K2806" s="1"/>
  <c r="H2806"/>
  <c r="E2806"/>
  <c r="J2805"/>
  <c r="K2805" s="1"/>
  <c r="I2805"/>
  <c r="H2805"/>
  <c r="E2805"/>
  <c r="K2804"/>
  <c r="J2804"/>
  <c r="I2804"/>
  <c r="H2804"/>
  <c r="E2804"/>
  <c r="K2803"/>
  <c r="J2803"/>
  <c r="I2803"/>
  <c r="H2803"/>
  <c r="E2803"/>
  <c r="J2802"/>
  <c r="K2802" s="1"/>
  <c r="I2802"/>
  <c r="H2802"/>
  <c r="E2802"/>
  <c r="J2801"/>
  <c r="K2801" s="1"/>
  <c r="I2801"/>
  <c r="H2801"/>
  <c r="E2801"/>
  <c r="K2800"/>
  <c r="J2800"/>
  <c r="I2800"/>
  <c r="H2800"/>
  <c r="E2800"/>
  <c r="K2799"/>
  <c r="J2799"/>
  <c r="I2799"/>
  <c r="H2799"/>
  <c r="E2799"/>
  <c r="J2798"/>
  <c r="K2798" s="1"/>
  <c r="H2798"/>
  <c r="E2798"/>
  <c r="J2797"/>
  <c r="K2797" s="1"/>
  <c r="I2797"/>
  <c r="H2797"/>
  <c r="E2797"/>
  <c r="J2796"/>
  <c r="J2906" s="1"/>
  <c r="I2796"/>
  <c r="I2906" s="1"/>
  <c r="I3015" s="1"/>
  <c r="H2796"/>
  <c r="E2796"/>
  <c r="F2785"/>
  <c r="F2784"/>
  <c r="C2784"/>
  <c r="H2783"/>
  <c r="G2783"/>
  <c r="F2783"/>
  <c r="D2783"/>
  <c r="C2783"/>
  <c r="C2785" s="1"/>
  <c r="J2782"/>
  <c r="I2782"/>
  <c r="K2782" s="1"/>
  <c r="H2782"/>
  <c r="J2781"/>
  <c r="I2781"/>
  <c r="K2781" s="1"/>
  <c r="H2781"/>
  <c r="J2780"/>
  <c r="I2780"/>
  <c r="K2780" s="1"/>
  <c r="H2780"/>
  <c r="J2779"/>
  <c r="I2779"/>
  <c r="K2779" s="1"/>
  <c r="H2779"/>
  <c r="J2778"/>
  <c r="I2778"/>
  <c r="K2778" s="1"/>
  <c r="H2778"/>
  <c r="J2777"/>
  <c r="I2777"/>
  <c r="K2777" s="1"/>
  <c r="H2777"/>
  <c r="J2776"/>
  <c r="I2776"/>
  <c r="K2776" s="1"/>
  <c r="H2776"/>
  <c r="J2775"/>
  <c r="I2775"/>
  <c r="K2775" s="1"/>
  <c r="H2775"/>
  <c r="J2774"/>
  <c r="I2774"/>
  <c r="K2774" s="1"/>
  <c r="H2774"/>
  <c r="J2773"/>
  <c r="I2773"/>
  <c r="K2773" s="1"/>
  <c r="H2773"/>
  <c r="J2772"/>
  <c r="I2772"/>
  <c r="K2772" s="1"/>
  <c r="H2772"/>
  <c r="J2771"/>
  <c r="I2771"/>
  <c r="K2771" s="1"/>
  <c r="H2771"/>
  <c r="J2770"/>
  <c r="I2770"/>
  <c r="K2770" s="1"/>
  <c r="H2770"/>
  <c r="J2769"/>
  <c r="I2769"/>
  <c r="K2769" s="1"/>
  <c r="H2769"/>
  <c r="J2768"/>
  <c r="I2768"/>
  <c r="K2768" s="1"/>
  <c r="H2768"/>
  <c r="J2767"/>
  <c r="I2767"/>
  <c r="K2767" s="1"/>
  <c r="H2767"/>
  <c r="J2766"/>
  <c r="I2766"/>
  <c r="K2766" s="1"/>
  <c r="H2766"/>
  <c r="J2765"/>
  <c r="I2765"/>
  <c r="K2765" s="1"/>
  <c r="H2765"/>
  <c r="J2764"/>
  <c r="I2764"/>
  <c r="K2764" s="1"/>
  <c r="H2764"/>
  <c r="J2763"/>
  <c r="I2763"/>
  <c r="K2763" s="1"/>
  <c r="H2763"/>
  <c r="J2762"/>
  <c r="I2762"/>
  <c r="K2762" s="1"/>
  <c r="H2762"/>
  <c r="J2761"/>
  <c r="I2761"/>
  <c r="K2761" s="1"/>
  <c r="H2761"/>
  <c r="J2760"/>
  <c r="I2760"/>
  <c r="K2760" s="1"/>
  <c r="H2760"/>
  <c r="J2759"/>
  <c r="I2759"/>
  <c r="K2759" s="1"/>
  <c r="H2759"/>
  <c r="J2758"/>
  <c r="I2758"/>
  <c r="K2758" s="1"/>
  <c r="H2758"/>
  <c r="J2757"/>
  <c r="I2757"/>
  <c r="K2757" s="1"/>
  <c r="H2757"/>
  <c r="J2756"/>
  <c r="I2756"/>
  <c r="K2756" s="1"/>
  <c r="H2756"/>
  <c r="J2755"/>
  <c r="I2755"/>
  <c r="K2755" s="1"/>
  <c r="H2755"/>
  <c r="J2754"/>
  <c r="I2754"/>
  <c r="K2754" s="1"/>
  <c r="H2754"/>
  <c r="J2753"/>
  <c r="I2753"/>
  <c r="K2753" s="1"/>
  <c r="H2753"/>
  <c r="J2752"/>
  <c r="I2752"/>
  <c r="K2752" s="1"/>
  <c r="H2752"/>
  <c r="J2751"/>
  <c r="I2751"/>
  <c r="K2751" s="1"/>
  <c r="H2751"/>
  <c r="J2750"/>
  <c r="I2750"/>
  <c r="K2750" s="1"/>
  <c r="H2750"/>
  <c r="J2749"/>
  <c r="I2749"/>
  <c r="K2749" s="1"/>
  <c r="H2749"/>
  <c r="J2748"/>
  <c r="I2748"/>
  <c r="K2748" s="1"/>
  <c r="H2748"/>
  <c r="J2747"/>
  <c r="I2747"/>
  <c r="K2747" s="1"/>
  <c r="H2747"/>
  <c r="J2746"/>
  <c r="I2746"/>
  <c r="K2746" s="1"/>
  <c r="H2746"/>
  <c r="J2745"/>
  <c r="I2745"/>
  <c r="K2745" s="1"/>
  <c r="H2745"/>
  <c r="J2744"/>
  <c r="I2744"/>
  <c r="K2744" s="1"/>
  <c r="H2744"/>
  <c r="J2743"/>
  <c r="I2743"/>
  <c r="K2743" s="1"/>
  <c r="H2743"/>
  <c r="J2742"/>
  <c r="J2783" s="1"/>
  <c r="I2742"/>
  <c r="K2742" s="1"/>
  <c r="H2742"/>
  <c r="F2740"/>
  <c r="E2740"/>
  <c r="D2740"/>
  <c r="D2784" s="1"/>
  <c r="E2784" s="1"/>
  <c r="C2740"/>
  <c r="J2739"/>
  <c r="K2739" s="1"/>
  <c r="I2739"/>
  <c r="H2739"/>
  <c r="E2739"/>
  <c r="K2738"/>
  <c r="J2738"/>
  <c r="I2738"/>
  <c r="H2738"/>
  <c r="E2738"/>
  <c r="K2737"/>
  <c r="J2737"/>
  <c r="I2737"/>
  <c r="H2737"/>
  <c r="E2737"/>
  <c r="J2736"/>
  <c r="I2736"/>
  <c r="K2736" s="1"/>
  <c r="H2736"/>
  <c r="E2736"/>
  <c r="J2735"/>
  <c r="K2735" s="1"/>
  <c r="I2735"/>
  <c r="H2735"/>
  <c r="G2735"/>
  <c r="E2735"/>
  <c r="K2734"/>
  <c r="J2734"/>
  <c r="I2734"/>
  <c r="H2734"/>
  <c r="E2734"/>
  <c r="J2733"/>
  <c r="I2733"/>
  <c r="K2733" s="1"/>
  <c r="H2733"/>
  <c r="E2733"/>
  <c r="J2732"/>
  <c r="K2732" s="1"/>
  <c r="I2732"/>
  <c r="H2732"/>
  <c r="E2732"/>
  <c r="K2731"/>
  <c r="J2731"/>
  <c r="I2731"/>
  <c r="H2731"/>
  <c r="E2731"/>
  <c r="K2730"/>
  <c r="J2730"/>
  <c r="I2730"/>
  <c r="H2730"/>
  <c r="E2730"/>
  <c r="J2729"/>
  <c r="I2729"/>
  <c r="K2729" s="1"/>
  <c r="H2729"/>
  <c r="E2729"/>
  <c r="J2728"/>
  <c r="K2728" s="1"/>
  <c r="I2728"/>
  <c r="H2728"/>
  <c r="E2728"/>
  <c r="K2727"/>
  <c r="J2727"/>
  <c r="I2727"/>
  <c r="H2727"/>
  <c r="E2727"/>
  <c r="K2726"/>
  <c r="J2726"/>
  <c r="I2726"/>
  <c r="H2726"/>
  <c r="E2726"/>
  <c r="J2725"/>
  <c r="I2725"/>
  <c r="K2725" s="1"/>
  <c r="H2725"/>
  <c r="E2725"/>
  <c r="J2724"/>
  <c r="K2724" s="1"/>
  <c r="I2724"/>
  <c r="H2724"/>
  <c r="E2724"/>
  <c r="K2723"/>
  <c r="J2723"/>
  <c r="I2723"/>
  <c r="H2723"/>
  <c r="E2723"/>
  <c r="K2722"/>
  <c r="J2722"/>
  <c r="I2722"/>
  <c r="H2722"/>
  <c r="E2722"/>
  <c r="J2721"/>
  <c r="I2721"/>
  <c r="K2721" s="1"/>
  <c r="H2721"/>
  <c r="E2721"/>
  <c r="J2720"/>
  <c r="K2720" s="1"/>
  <c r="I2720"/>
  <c r="H2720"/>
  <c r="E2720"/>
  <c r="K2719"/>
  <c r="J2719"/>
  <c r="I2719"/>
  <c r="H2719"/>
  <c r="E2719"/>
  <c r="K2718"/>
  <c r="J2718"/>
  <c r="I2718"/>
  <c r="H2718"/>
  <c r="E2718"/>
  <c r="J2717"/>
  <c r="I2717"/>
  <c r="K2717" s="1"/>
  <c r="H2717"/>
  <c r="E2717"/>
  <c r="J2716"/>
  <c r="K2716" s="1"/>
  <c r="I2716"/>
  <c r="H2716"/>
  <c r="E2716"/>
  <c r="K2715"/>
  <c r="J2715"/>
  <c r="I2715"/>
  <c r="H2715"/>
  <c r="E2715"/>
  <c r="K2714"/>
  <c r="J2714"/>
  <c r="I2714"/>
  <c r="H2714"/>
  <c r="E2714"/>
  <c r="J2713"/>
  <c r="I2713"/>
  <c r="K2713" s="1"/>
  <c r="H2713"/>
  <c r="E2713"/>
  <c r="J2712"/>
  <c r="K2712" s="1"/>
  <c r="I2712"/>
  <c r="H2712"/>
  <c r="E2712"/>
  <c r="I2711"/>
  <c r="G2711"/>
  <c r="J2711" s="1"/>
  <c r="K2711" s="1"/>
  <c r="E2711"/>
  <c r="J2710"/>
  <c r="I2710"/>
  <c r="K2710" s="1"/>
  <c r="H2710"/>
  <c r="E2710"/>
  <c r="J2709"/>
  <c r="K2709" s="1"/>
  <c r="I2709"/>
  <c r="H2709"/>
  <c r="G2709"/>
  <c r="E2709"/>
  <c r="K2708"/>
  <c r="J2708"/>
  <c r="I2708"/>
  <c r="H2708"/>
  <c r="E2708"/>
  <c r="J2707"/>
  <c r="I2707"/>
  <c r="K2707" s="1"/>
  <c r="H2707"/>
  <c r="E2707"/>
  <c r="J2706"/>
  <c r="K2706" s="1"/>
  <c r="I2706"/>
  <c r="H2706"/>
  <c r="E2706"/>
  <c r="I2705"/>
  <c r="G2705"/>
  <c r="H2705" s="1"/>
  <c r="E2705"/>
  <c r="J2704"/>
  <c r="I2704"/>
  <c r="K2704" s="1"/>
  <c r="H2704"/>
  <c r="E2704"/>
  <c r="J2703"/>
  <c r="K2703" s="1"/>
  <c r="I2703"/>
  <c r="H2703"/>
  <c r="E2703"/>
  <c r="K2702"/>
  <c r="J2702"/>
  <c r="I2702"/>
  <c r="H2702"/>
  <c r="E2702"/>
  <c r="K2701"/>
  <c r="J2701"/>
  <c r="I2701"/>
  <c r="H2701"/>
  <c r="E2701"/>
  <c r="I2700"/>
  <c r="H2700"/>
  <c r="G2700"/>
  <c r="J2700" s="1"/>
  <c r="K2700" s="1"/>
  <c r="E2700"/>
  <c r="I2699"/>
  <c r="G2699"/>
  <c r="H2699" s="1"/>
  <c r="E2699"/>
  <c r="J2698"/>
  <c r="I2698"/>
  <c r="K2698" s="1"/>
  <c r="H2698"/>
  <c r="E2698"/>
  <c r="J2697"/>
  <c r="K2697" s="1"/>
  <c r="I2697"/>
  <c r="H2697"/>
  <c r="E2697"/>
  <c r="K2696"/>
  <c r="J2696"/>
  <c r="I2696"/>
  <c r="H2696"/>
  <c r="E2696"/>
  <c r="K2695"/>
  <c r="J2695"/>
  <c r="I2695"/>
  <c r="H2695"/>
  <c r="E2695"/>
  <c r="J2694"/>
  <c r="I2694"/>
  <c r="K2694" s="1"/>
  <c r="H2694"/>
  <c r="E2694"/>
  <c r="J2693"/>
  <c r="K2693" s="1"/>
  <c r="I2693"/>
  <c r="H2693"/>
  <c r="E2693"/>
  <c r="K2692"/>
  <c r="J2692"/>
  <c r="I2692"/>
  <c r="H2692"/>
  <c r="E2692"/>
  <c r="K2691"/>
  <c r="J2691"/>
  <c r="I2691"/>
  <c r="H2691"/>
  <c r="E2691"/>
  <c r="J2690"/>
  <c r="I2690"/>
  <c r="K2690" s="1"/>
  <c r="H2690"/>
  <c r="E2690"/>
  <c r="J2689"/>
  <c r="K2689" s="1"/>
  <c r="I2689"/>
  <c r="H2689"/>
  <c r="E2689"/>
  <c r="K2688"/>
  <c r="J2688"/>
  <c r="I2688"/>
  <c r="H2688"/>
  <c r="E2688"/>
  <c r="K2687"/>
  <c r="J2687"/>
  <c r="I2687"/>
  <c r="H2687"/>
  <c r="E2687"/>
  <c r="J2686"/>
  <c r="I2686"/>
  <c r="K2686" s="1"/>
  <c r="H2686"/>
  <c r="E2686"/>
  <c r="J2685"/>
  <c r="K2685" s="1"/>
  <c r="I2685"/>
  <c r="H2685"/>
  <c r="E2685"/>
  <c r="K2684"/>
  <c r="J2684"/>
  <c r="I2684"/>
  <c r="H2684"/>
  <c r="E2684"/>
  <c r="K2683"/>
  <c r="J2683"/>
  <c r="I2683"/>
  <c r="H2683"/>
  <c r="E2683"/>
  <c r="J2682"/>
  <c r="I2682"/>
  <c r="K2682" s="1"/>
  <c r="H2682"/>
  <c r="E2682"/>
  <c r="J2681"/>
  <c r="K2681" s="1"/>
  <c r="I2681"/>
  <c r="H2681"/>
  <c r="E2681"/>
  <c r="K2680"/>
  <c r="J2680"/>
  <c r="I2680"/>
  <c r="H2680"/>
  <c r="E2680"/>
  <c r="K2679"/>
  <c r="J2679"/>
  <c r="I2679"/>
  <c r="H2679"/>
  <c r="E2679"/>
  <c r="J2678"/>
  <c r="I2678"/>
  <c r="K2678" s="1"/>
  <c r="H2678"/>
  <c r="E2678"/>
  <c r="J2677"/>
  <c r="K2677" s="1"/>
  <c r="I2677"/>
  <c r="H2677"/>
  <c r="E2677"/>
  <c r="K2676"/>
  <c r="J2676"/>
  <c r="I2676"/>
  <c r="H2676"/>
  <c r="E2676"/>
  <c r="K2675"/>
  <c r="J2675"/>
  <c r="I2675"/>
  <c r="H2675"/>
  <c r="E2675"/>
  <c r="J2674"/>
  <c r="I2674"/>
  <c r="K2674" s="1"/>
  <c r="H2674"/>
  <c r="E2674"/>
  <c r="J2673"/>
  <c r="K2673" s="1"/>
  <c r="I2673"/>
  <c r="H2673"/>
  <c r="E2673"/>
  <c r="I2672"/>
  <c r="G2672"/>
  <c r="J2672" s="1"/>
  <c r="K2672" s="1"/>
  <c r="E2672"/>
  <c r="J2671"/>
  <c r="I2671"/>
  <c r="K2671" s="1"/>
  <c r="H2671"/>
  <c r="E2671"/>
  <c r="J2670"/>
  <c r="K2670" s="1"/>
  <c r="I2670"/>
  <c r="H2670"/>
  <c r="E2670"/>
  <c r="K2669"/>
  <c r="J2669"/>
  <c r="I2669"/>
  <c r="H2669"/>
  <c r="E2669"/>
  <c r="K2668"/>
  <c r="J2668"/>
  <c r="I2668"/>
  <c r="H2668"/>
  <c r="E2668"/>
  <c r="J2667"/>
  <c r="I2667"/>
  <c r="K2667" s="1"/>
  <c r="H2667"/>
  <c r="E2667"/>
  <c r="J2666"/>
  <c r="K2666" s="1"/>
  <c r="I2666"/>
  <c r="H2666"/>
  <c r="E2666"/>
  <c r="K2665"/>
  <c r="J2665"/>
  <c r="I2665"/>
  <c r="H2665"/>
  <c r="E2665"/>
  <c r="K2664"/>
  <c r="J2664"/>
  <c r="I2664"/>
  <c r="H2664"/>
  <c r="E2664"/>
  <c r="J2663"/>
  <c r="I2663"/>
  <c r="K2663" s="1"/>
  <c r="H2663"/>
  <c r="E2663"/>
  <c r="J2662"/>
  <c r="K2662" s="1"/>
  <c r="I2662"/>
  <c r="H2662"/>
  <c r="E2662"/>
  <c r="K2661"/>
  <c r="J2661"/>
  <c r="I2661"/>
  <c r="H2661"/>
  <c r="E2661"/>
  <c r="K2660"/>
  <c r="J2660"/>
  <c r="I2660"/>
  <c r="H2660"/>
  <c r="E2660"/>
  <c r="J2659"/>
  <c r="I2659"/>
  <c r="K2659" s="1"/>
  <c r="H2659"/>
  <c r="E2659"/>
  <c r="J2658"/>
  <c r="K2658" s="1"/>
  <c r="I2658"/>
  <c r="H2658"/>
  <c r="E2658"/>
  <c r="K2657"/>
  <c r="J2657"/>
  <c r="I2657"/>
  <c r="H2657"/>
  <c r="E2657"/>
  <c r="K2656"/>
  <c r="J2656"/>
  <c r="H2656"/>
  <c r="E2656"/>
  <c r="I2655"/>
  <c r="H2655"/>
  <c r="G2655"/>
  <c r="J2655" s="1"/>
  <c r="K2655" s="1"/>
  <c r="E2655"/>
  <c r="J2654"/>
  <c r="K2654" s="1"/>
  <c r="I2654"/>
  <c r="H2654"/>
  <c r="E2654"/>
  <c r="K2653"/>
  <c r="J2653"/>
  <c r="I2653"/>
  <c r="H2653"/>
  <c r="E2653"/>
  <c r="I2652"/>
  <c r="H2652"/>
  <c r="G2652"/>
  <c r="J2652" s="1"/>
  <c r="K2652" s="1"/>
  <c r="E2652"/>
  <c r="J2651"/>
  <c r="K2651" s="1"/>
  <c r="I2651"/>
  <c r="H2651"/>
  <c r="E2651"/>
  <c r="K2650"/>
  <c r="J2650"/>
  <c r="I2650"/>
  <c r="H2650"/>
  <c r="E2650"/>
  <c r="K2649"/>
  <c r="J2649"/>
  <c r="I2649"/>
  <c r="H2649"/>
  <c r="E2649"/>
  <c r="J2648"/>
  <c r="I2648"/>
  <c r="K2648" s="1"/>
  <c r="H2648"/>
  <c r="E2648"/>
  <c r="J2647"/>
  <c r="K2647" s="1"/>
  <c r="I2647"/>
  <c r="H2647"/>
  <c r="E2647"/>
  <c r="K2646"/>
  <c r="J2646"/>
  <c r="I2646"/>
  <c r="H2646"/>
  <c r="E2646"/>
  <c r="K2645"/>
  <c r="J2645"/>
  <c r="I2645"/>
  <c r="H2645"/>
  <c r="E2645"/>
  <c r="J2644"/>
  <c r="I2644"/>
  <c r="K2644" s="1"/>
  <c r="H2644"/>
  <c r="E2644"/>
  <c r="J2643"/>
  <c r="K2643" s="1"/>
  <c r="I2643"/>
  <c r="H2643"/>
  <c r="E2643"/>
  <c r="K2642"/>
  <c r="J2642"/>
  <c r="I2642"/>
  <c r="H2642"/>
  <c r="E2642"/>
  <c r="K2641"/>
  <c r="J2641"/>
  <c r="I2641"/>
  <c r="H2641"/>
  <c r="E2641"/>
  <c r="J2640"/>
  <c r="I2640"/>
  <c r="K2640" s="1"/>
  <c r="H2640"/>
  <c r="E2640"/>
  <c r="J2639"/>
  <c r="K2639" s="1"/>
  <c r="I2639"/>
  <c r="H2639"/>
  <c r="E2639"/>
  <c r="K2638"/>
  <c r="J2638"/>
  <c r="H2638"/>
  <c r="E2638"/>
  <c r="K2637"/>
  <c r="J2637"/>
  <c r="I2637"/>
  <c r="H2637"/>
  <c r="E2637"/>
  <c r="K2636"/>
  <c r="J2636"/>
  <c r="I2636"/>
  <c r="H2636"/>
  <c r="E2636"/>
  <c r="J2635"/>
  <c r="I2635"/>
  <c r="K2635" s="1"/>
  <c r="H2635"/>
  <c r="E2635"/>
  <c r="J2634"/>
  <c r="K2634" s="1"/>
  <c r="I2634"/>
  <c r="H2634"/>
  <c r="E2634"/>
  <c r="K2633"/>
  <c r="J2633"/>
  <c r="I2633"/>
  <c r="H2633"/>
  <c r="E2633"/>
  <c r="K2632"/>
  <c r="J2632"/>
  <c r="I2632"/>
  <c r="H2632"/>
  <c r="E2632"/>
  <c r="J2631"/>
  <c r="I2631"/>
  <c r="K2631" s="1"/>
  <c r="H2631"/>
  <c r="E2631"/>
  <c r="J2630"/>
  <c r="K2630" s="1"/>
  <c r="I2630"/>
  <c r="H2630"/>
  <c r="E2630"/>
  <c r="K2629"/>
  <c r="J2629"/>
  <c r="I2629"/>
  <c r="H2629"/>
  <c r="E2629"/>
  <c r="K2628"/>
  <c r="J2628"/>
  <c r="I2628"/>
  <c r="H2628"/>
  <c r="E2628"/>
  <c r="J2627"/>
  <c r="I2627"/>
  <c r="K2627" s="1"/>
  <c r="H2627"/>
  <c r="E2627"/>
  <c r="J2626"/>
  <c r="K2626" s="1"/>
  <c r="I2626"/>
  <c r="H2626"/>
  <c r="E2626"/>
  <c r="K2625"/>
  <c r="J2625"/>
  <c r="I2625"/>
  <c r="H2625"/>
  <c r="E2625"/>
  <c r="K2624"/>
  <c r="J2624"/>
  <c r="I2624"/>
  <c r="H2624"/>
  <c r="E2624"/>
  <c r="J2623"/>
  <c r="I2623"/>
  <c r="K2623" s="1"/>
  <c r="H2623"/>
  <c r="E2623"/>
  <c r="J2622"/>
  <c r="K2622" s="1"/>
  <c r="I2622"/>
  <c r="H2622"/>
  <c r="G2622"/>
  <c r="E2622"/>
  <c r="I2621"/>
  <c r="H2621"/>
  <c r="G2621"/>
  <c r="G2740" s="1"/>
  <c r="E2621"/>
  <c r="J2620"/>
  <c r="K2620" s="1"/>
  <c r="I2620"/>
  <c r="H2620"/>
  <c r="E2620"/>
  <c r="K2619"/>
  <c r="J2619"/>
  <c r="I2619"/>
  <c r="H2619"/>
  <c r="E2619"/>
  <c r="K2618"/>
  <c r="J2618"/>
  <c r="I2618"/>
  <c r="H2618"/>
  <c r="E2618"/>
  <c r="J2617"/>
  <c r="I2617"/>
  <c r="K2617" s="1"/>
  <c r="H2617"/>
  <c r="E2617"/>
  <c r="J2616"/>
  <c r="K2616" s="1"/>
  <c r="I2616"/>
  <c r="H2616"/>
  <c r="E2616"/>
  <c r="K2615"/>
  <c r="J2615"/>
  <c r="I2615"/>
  <c r="H2615"/>
  <c r="E2615"/>
  <c r="K2614"/>
  <c r="J2614"/>
  <c r="I2614"/>
  <c r="H2614"/>
  <c r="E2614"/>
  <c r="J2613"/>
  <c r="I2613"/>
  <c r="K2613" s="1"/>
  <c r="H2613"/>
  <c r="E2613"/>
  <c r="J2612"/>
  <c r="K2612" s="1"/>
  <c r="I2612"/>
  <c r="H2612"/>
  <c r="E2612"/>
  <c r="K2611"/>
  <c r="J2611"/>
  <c r="I2611"/>
  <c r="H2611"/>
  <c r="E2611"/>
  <c r="K2610"/>
  <c r="J2610"/>
  <c r="I2610"/>
  <c r="H2610"/>
  <c r="E2610"/>
  <c r="J2609"/>
  <c r="I2609"/>
  <c r="K2609" s="1"/>
  <c r="H2609"/>
  <c r="E2609"/>
  <c r="G2596"/>
  <c r="F2596"/>
  <c r="F2599" s="1"/>
  <c r="D2596"/>
  <c r="C2596"/>
  <c r="J2595"/>
  <c r="K2595" s="1"/>
  <c r="I2595"/>
  <c r="J2594"/>
  <c r="I2594"/>
  <c r="K2594" s="1"/>
  <c r="K2593"/>
  <c r="J2593"/>
  <c r="I2593"/>
  <c r="K2592"/>
  <c r="J2592"/>
  <c r="I2592"/>
  <c r="J2591"/>
  <c r="K2591" s="1"/>
  <c r="I2591"/>
  <c r="J2590"/>
  <c r="I2590"/>
  <c r="K2590" s="1"/>
  <c r="K2589"/>
  <c r="J2589"/>
  <c r="I2589"/>
  <c r="K2588"/>
  <c r="J2588"/>
  <c r="I2588"/>
  <c r="J2587"/>
  <c r="K2587" s="1"/>
  <c r="I2587"/>
  <c r="J2586"/>
  <c r="I2586"/>
  <c r="K2586" s="1"/>
  <c r="K2585"/>
  <c r="J2585"/>
  <c r="I2585"/>
  <c r="K2584"/>
  <c r="J2584"/>
  <c r="I2584"/>
  <c r="J2583"/>
  <c r="K2583" s="1"/>
  <c r="I2583"/>
  <c r="J2582"/>
  <c r="I2582"/>
  <c r="K2582" s="1"/>
  <c r="K2581"/>
  <c r="J2581"/>
  <c r="I2581"/>
  <c r="K2580"/>
  <c r="J2580"/>
  <c r="I2580"/>
  <c r="J2579"/>
  <c r="K2579" s="1"/>
  <c r="I2579"/>
  <c r="J2578"/>
  <c r="I2578"/>
  <c r="K2578" s="1"/>
  <c r="K2577"/>
  <c r="J2577"/>
  <c r="I2577"/>
  <c r="K2576"/>
  <c r="J2576"/>
  <c r="I2576"/>
  <c r="J2575"/>
  <c r="K2575" s="1"/>
  <c r="I2575"/>
  <c r="J2574"/>
  <c r="I2574"/>
  <c r="K2574" s="1"/>
  <c r="K2573"/>
  <c r="J2573"/>
  <c r="I2573"/>
  <c r="K2572"/>
  <c r="J2572"/>
  <c r="J2596" s="1"/>
  <c r="I2572"/>
  <c r="I2596" s="1"/>
  <c r="G2569"/>
  <c r="H2569" s="1"/>
  <c r="F2569"/>
  <c r="D2569"/>
  <c r="C2569"/>
  <c r="E2569" s="1"/>
  <c r="K2568"/>
  <c r="J2568"/>
  <c r="I2568"/>
  <c r="H2568"/>
  <c r="E2568"/>
  <c r="J2567"/>
  <c r="I2567"/>
  <c r="K2567" s="1"/>
  <c r="H2567"/>
  <c r="E2567"/>
  <c r="J2566"/>
  <c r="K2566" s="1"/>
  <c r="I2566"/>
  <c r="H2566"/>
  <c r="E2566"/>
  <c r="K2565"/>
  <c r="J2565"/>
  <c r="I2565"/>
  <c r="H2565"/>
  <c r="E2565"/>
  <c r="K2564"/>
  <c r="J2564"/>
  <c r="I2564"/>
  <c r="H2564"/>
  <c r="E2564"/>
  <c r="K2563"/>
  <c r="J2563"/>
  <c r="H2563"/>
  <c r="E2563"/>
  <c r="J2562"/>
  <c r="I2562"/>
  <c r="K2562" s="1"/>
  <c r="H2562"/>
  <c r="E2562"/>
  <c r="J2561"/>
  <c r="K2561" s="1"/>
  <c r="I2561"/>
  <c r="H2561"/>
  <c r="E2561"/>
  <c r="K2560"/>
  <c r="J2560"/>
  <c r="I2560"/>
  <c r="H2560"/>
  <c r="E2560"/>
  <c r="K2559"/>
  <c r="J2559"/>
  <c r="I2559"/>
  <c r="H2559"/>
  <c r="E2559"/>
  <c r="J2558"/>
  <c r="I2558"/>
  <c r="K2558" s="1"/>
  <c r="H2558"/>
  <c r="E2558"/>
  <c r="J2557"/>
  <c r="K2557" s="1"/>
  <c r="I2557"/>
  <c r="H2557"/>
  <c r="E2557"/>
  <c r="K2556"/>
  <c r="J2556"/>
  <c r="I2556"/>
  <c r="H2556"/>
  <c r="E2556"/>
  <c r="K2555"/>
  <c r="J2555"/>
  <c r="I2555"/>
  <c r="H2555"/>
  <c r="E2555"/>
  <c r="J2554"/>
  <c r="I2554"/>
  <c r="K2554" s="1"/>
  <c r="H2554"/>
  <c r="E2554"/>
  <c r="J2553"/>
  <c r="K2553" s="1"/>
  <c r="I2553"/>
  <c r="H2553"/>
  <c r="E2553"/>
  <c r="K2552"/>
  <c r="J2552"/>
  <c r="I2552"/>
  <c r="H2552"/>
  <c r="E2552"/>
  <c r="K2551"/>
  <c r="J2551"/>
  <c r="I2551"/>
  <c r="H2551"/>
  <c r="E2551"/>
  <c r="J2550"/>
  <c r="I2550"/>
  <c r="K2550" s="1"/>
  <c r="H2550"/>
  <c r="E2550"/>
  <c r="J2549"/>
  <c r="K2549" s="1"/>
  <c r="I2549"/>
  <c r="H2549"/>
  <c r="E2549"/>
  <c r="K2548"/>
  <c r="J2548"/>
  <c r="I2548"/>
  <c r="H2548"/>
  <c r="E2548"/>
  <c r="K2547"/>
  <c r="J2547"/>
  <c r="I2547"/>
  <c r="H2547"/>
  <c r="E2547"/>
  <c r="J2546"/>
  <c r="I2546"/>
  <c r="K2546" s="1"/>
  <c r="H2546"/>
  <c r="E2546"/>
  <c r="J2545"/>
  <c r="K2545" s="1"/>
  <c r="I2545"/>
  <c r="H2545"/>
  <c r="E2545"/>
  <c r="K2544"/>
  <c r="J2544"/>
  <c r="I2544"/>
  <c r="H2544"/>
  <c r="E2544"/>
  <c r="K2543"/>
  <c r="J2543"/>
  <c r="I2543"/>
  <c r="H2543"/>
  <c r="E2543"/>
  <c r="J2542"/>
  <c r="I2542"/>
  <c r="K2542" s="1"/>
  <c r="H2542"/>
  <c r="E2542"/>
  <c r="J2541"/>
  <c r="K2541" s="1"/>
  <c r="I2541"/>
  <c r="H2541"/>
  <c r="E2541"/>
  <c r="K2540"/>
  <c r="J2540"/>
  <c r="I2540"/>
  <c r="H2540"/>
  <c r="E2540"/>
  <c r="K2539"/>
  <c r="J2539"/>
  <c r="H2539"/>
  <c r="E2539"/>
  <c r="K2538"/>
  <c r="J2538"/>
  <c r="I2538"/>
  <c r="H2538"/>
  <c r="E2538"/>
  <c r="J2537"/>
  <c r="I2537"/>
  <c r="K2537" s="1"/>
  <c r="H2537"/>
  <c r="E2537"/>
  <c r="J2536"/>
  <c r="K2536" s="1"/>
  <c r="I2536"/>
  <c r="H2536"/>
  <c r="E2536"/>
  <c r="K2535"/>
  <c r="J2535"/>
  <c r="I2535"/>
  <c r="H2535"/>
  <c r="E2535"/>
  <c r="K2534"/>
  <c r="J2534"/>
  <c r="I2534"/>
  <c r="H2534"/>
  <c r="E2534"/>
  <c r="J2533"/>
  <c r="I2533"/>
  <c r="K2533" s="1"/>
  <c r="H2533"/>
  <c r="E2533"/>
  <c r="J2532"/>
  <c r="K2532" s="1"/>
  <c r="I2532"/>
  <c r="H2532"/>
  <c r="E2532"/>
  <c r="K2531"/>
  <c r="J2531"/>
  <c r="I2531"/>
  <c r="H2531"/>
  <c r="E2531"/>
  <c r="K2530"/>
  <c r="J2530"/>
  <c r="I2530"/>
  <c r="H2530"/>
  <c r="E2530"/>
  <c r="J2529"/>
  <c r="I2529"/>
  <c r="K2529" s="1"/>
  <c r="H2529"/>
  <c r="E2529"/>
  <c r="J2528"/>
  <c r="K2528" s="1"/>
  <c r="I2528"/>
  <c r="H2528"/>
  <c r="E2528"/>
  <c r="K2527"/>
  <c r="J2527"/>
  <c r="I2527"/>
  <c r="H2527"/>
  <c r="E2527"/>
  <c r="K2526"/>
  <c r="J2526"/>
  <c r="I2526"/>
  <c r="H2526"/>
  <c r="E2526"/>
  <c r="J2525"/>
  <c r="I2525"/>
  <c r="K2525" s="1"/>
  <c r="H2525"/>
  <c r="E2525"/>
  <c r="J2524"/>
  <c r="K2524" s="1"/>
  <c r="I2524"/>
  <c r="H2524"/>
  <c r="E2524"/>
  <c r="K2523"/>
  <c r="J2523"/>
  <c r="I2523"/>
  <c r="H2523"/>
  <c r="E2523"/>
  <c r="K2522"/>
  <c r="J2522"/>
  <c r="I2522"/>
  <c r="H2522"/>
  <c r="E2522"/>
  <c r="J2521"/>
  <c r="I2521"/>
  <c r="K2521" s="1"/>
  <c r="H2521"/>
  <c r="E2521"/>
  <c r="J2520"/>
  <c r="K2520" s="1"/>
  <c r="I2520"/>
  <c r="H2520"/>
  <c r="E2520"/>
  <c r="K2519"/>
  <c r="J2519"/>
  <c r="I2519"/>
  <c r="H2519"/>
  <c r="E2519"/>
  <c r="K2518"/>
  <c r="J2518"/>
  <c r="I2518"/>
  <c r="H2518"/>
  <c r="E2518"/>
  <c r="J2517"/>
  <c r="I2517"/>
  <c r="K2517" s="1"/>
  <c r="H2517"/>
  <c r="E2517"/>
  <c r="J2516"/>
  <c r="K2516" s="1"/>
  <c r="I2516"/>
  <c r="H2516"/>
  <c r="E2516"/>
  <c r="K2515"/>
  <c r="J2515"/>
  <c r="I2515"/>
  <c r="H2515"/>
  <c r="E2515"/>
  <c r="K2514"/>
  <c r="J2514"/>
  <c r="I2514"/>
  <c r="H2514"/>
  <c r="E2514"/>
  <c r="J2513"/>
  <c r="I2513"/>
  <c r="K2513" s="1"/>
  <c r="H2513"/>
  <c r="E2513"/>
  <c r="J2512"/>
  <c r="K2512" s="1"/>
  <c r="I2512"/>
  <c r="H2512"/>
  <c r="E2512"/>
  <c r="K2511"/>
  <c r="J2511"/>
  <c r="I2511"/>
  <c r="H2511"/>
  <c r="E2511"/>
  <c r="K2510"/>
  <c r="J2510"/>
  <c r="I2510"/>
  <c r="H2510"/>
  <c r="E2510"/>
  <c r="J2509"/>
  <c r="I2509"/>
  <c r="K2509" s="1"/>
  <c r="H2509"/>
  <c r="E2509"/>
  <c r="J2508"/>
  <c r="K2508" s="1"/>
  <c r="I2508"/>
  <c r="H2508"/>
  <c r="E2508"/>
  <c r="K2507"/>
  <c r="J2507"/>
  <c r="J2569" s="1"/>
  <c r="K2569" s="1"/>
  <c r="I2507"/>
  <c r="H2507"/>
  <c r="E2507"/>
  <c r="K2506"/>
  <c r="J2506"/>
  <c r="I2506"/>
  <c r="H2506"/>
  <c r="E2506"/>
  <c r="J2505"/>
  <c r="I2505"/>
  <c r="I2569" s="1"/>
  <c r="H2505"/>
  <c r="E2505"/>
  <c r="F2503"/>
  <c r="F2570" s="1"/>
  <c r="F2597" s="1"/>
  <c r="E2503"/>
  <c r="D2503"/>
  <c r="D2570" s="1"/>
  <c r="C2503"/>
  <c r="C2570" s="1"/>
  <c r="C2597" s="1"/>
  <c r="K2502"/>
  <c r="J2502"/>
  <c r="H2502"/>
  <c r="E2502"/>
  <c r="K2501"/>
  <c r="J2501"/>
  <c r="I2501"/>
  <c r="H2501"/>
  <c r="E2501"/>
  <c r="K2500"/>
  <c r="J2500"/>
  <c r="I2500"/>
  <c r="H2500"/>
  <c r="E2500"/>
  <c r="J2499"/>
  <c r="I2499"/>
  <c r="K2499" s="1"/>
  <c r="H2499"/>
  <c r="E2499"/>
  <c r="J2498"/>
  <c r="K2498" s="1"/>
  <c r="I2498"/>
  <c r="H2498"/>
  <c r="E2498"/>
  <c r="K2497"/>
  <c r="J2497"/>
  <c r="I2497"/>
  <c r="H2497"/>
  <c r="E2497"/>
  <c r="K2496"/>
  <c r="J2496"/>
  <c r="I2496"/>
  <c r="H2496"/>
  <c r="E2496"/>
  <c r="J2495"/>
  <c r="I2495"/>
  <c r="K2495" s="1"/>
  <c r="H2495"/>
  <c r="E2495"/>
  <c r="J2494"/>
  <c r="K2494" s="1"/>
  <c r="I2494"/>
  <c r="H2494"/>
  <c r="E2494"/>
  <c r="K2493"/>
  <c r="J2493"/>
  <c r="I2493"/>
  <c r="H2493"/>
  <c r="E2493"/>
  <c r="K2492"/>
  <c r="J2492"/>
  <c r="I2492"/>
  <c r="H2492"/>
  <c r="E2492"/>
  <c r="J2491"/>
  <c r="I2491"/>
  <c r="K2491" s="1"/>
  <c r="H2491"/>
  <c r="E2491"/>
  <c r="J2490"/>
  <c r="K2490" s="1"/>
  <c r="I2490"/>
  <c r="H2490"/>
  <c r="E2490"/>
  <c r="K2489"/>
  <c r="J2489"/>
  <c r="I2489"/>
  <c r="H2489"/>
  <c r="E2489"/>
  <c r="K2488"/>
  <c r="J2488"/>
  <c r="I2488"/>
  <c r="H2488"/>
  <c r="E2488"/>
  <c r="J2487"/>
  <c r="I2487"/>
  <c r="K2487" s="1"/>
  <c r="H2487"/>
  <c r="E2487"/>
  <c r="J2486"/>
  <c r="K2486" s="1"/>
  <c r="I2486"/>
  <c r="H2486"/>
  <c r="E2486"/>
  <c r="K2485"/>
  <c r="J2485"/>
  <c r="I2485"/>
  <c r="H2485"/>
  <c r="E2485"/>
  <c r="K2484"/>
  <c r="J2484"/>
  <c r="I2484"/>
  <c r="H2484"/>
  <c r="E2484"/>
  <c r="J2483"/>
  <c r="I2483"/>
  <c r="K2483" s="1"/>
  <c r="H2483"/>
  <c r="E2483"/>
  <c r="J2482"/>
  <c r="K2482" s="1"/>
  <c r="I2482"/>
  <c r="H2482"/>
  <c r="E2482"/>
  <c r="K2481"/>
  <c r="J2481"/>
  <c r="I2481"/>
  <c r="H2481"/>
  <c r="E2481"/>
  <c r="I2480"/>
  <c r="H2480"/>
  <c r="G2480"/>
  <c r="J2480" s="1"/>
  <c r="K2480" s="1"/>
  <c r="E2480"/>
  <c r="J2479"/>
  <c r="K2479" s="1"/>
  <c r="I2479"/>
  <c r="H2479"/>
  <c r="E2479"/>
  <c r="K2478"/>
  <c r="J2478"/>
  <c r="I2478"/>
  <c r="H2478"/>
  <c r="E2478"/>
  <c r="K2477"/>
  <c r="J2477"/>
  <c r="I2477"/>
  <c r="H2477"/>
  <c r="E2477"/>
  <c r="J2476"/>
  <c r="I2476"/>
  <c r="K2476" s="1"/>
  <c r="H2476"/>
  <c r="E2476"/>
  <c r="J2475"/>
  <c r="K2475" s="1"/>
  <c r="I2475"/>
  <c r="H2475"/>
  <c r="E2475"/>
  <c r="K2474"/>
  <c r="J2474"/>
  <c r="I2474"/>
  <c r="H2474"/>
  <c r="E2474"/>
  <c r="K2473"/>
  <c r="J2473"/>
  <c r="I2473"/>
  <c r="H2473"/>
  <c r="E2473"/>
  <c r="J2472"/>
  <c r="I2472"/>
  <c r="K2472" s="1"/>
  <c r="H2472"/>
  <c r="E2472"/>
  <c r="J2471"/>
  <c r="K2471" s="1"/>
  <c r="I2471"/>
  <c r="H2471"/>
  <c r="E2471"/>
  <c r="K2470"/>
  <c r="J2470"/>
  <c r="I2470"/>
  <c r="H2470"/>
  <c r="E2470"/>
  <c r="K2469"/>
  <c r="J2469"/>
  <c r="I2469"/>
  <c r="H2469"/>
  <c r="E2469"/>
  <c r="J2468"/>
  <c r="I2468"/>
  <c r="K2468" s="1"/>
  <c r="H2468"/>
  <c r="E2468"/>
  <c r="J2467"/>
  <c r="K2467" s="1"/>
  <c r="I2467"/>
  <c r="H2467"/>
  <c r="E2467"/>
  <c r="K2466"/>
  <c r="J2466"/>
  <c r="I2466"/>
  <c r="H2466"/>
  <c r="E2466"/>
  <c r="K2465"/>
  <c r="J2465"/>
  <c r="I2465"/>
  <c r="H2465"/>
  <c r="E2465"/>
  <c r="J2464"/>
  <c r="I2464"/>
  <c r="K2464" s="1"/>
  <c r="H2464"/>
  <c r="E2464"/>
  <c r="J2463"/>
  <c r="K2463" s="1"/>
  <c r="I2463"/>
  <c r="H2463"/>
  <c r="E2463"/>
  <c r="K2462"/>
  <c r="J2462"/>
  <c r="I2462"/>
  <c r="H2462"/>
  <c r="E2462"/>
  <c r="K2461"/>
  <c r="J2461"/>
  <c r="I2461"/>
  <c r="H2461"/>
  <c r="E2461"/>
  <c r="J2460"/>
  <c r="I2460"/>
  <c r="K2460" s="1"/>
  <c r="H2460"/>
  <c r="E2460"/>
  <c r="J2459"/>
  <c r="K2459" s="1"/>
  <c r="I2459"/>
  <c r="H2459"/>
  <c r="E2459"/>
  <c r="K2458"/>
  <c r="J2458"/>
  <c r="I2458"/>
  <c r="H2458"/>
  <c r="E2458"/>
  <c r="K2457"/>
  <c r="J2457"/>
  <c r="I2457"/>
  <c r="H2457"/>
  <c r="E2457"/>
  <c r="J2456"/>
  <c r="I2456"/>
  <c r="K2456" s="1"/>
  <c r="H2456"/>
  <c r="E2456"/>
  <c r="J2455"/>
  <c r="K2455" s="1"/>
  <c r="I2455"/>
  <c r="H2455"/>
  <c r="E2455"/>
  <c r="K2454"/>
  <c r="J2454"/>
  <c r="I2454"/>
  <c r="H2454"/>
  <c r="E2454"/>
  <c r="K2453"/>
  <c r="J2453"/>
  <c r="I2453"/>
  <c r="H2453"/>
  <c r="E2453"/>
  <c r="J2452"/>
  <c r="I2452"/>
  <c r="K2452" s="1"/>
  <c r="H2452"/>
  <c r="E2452"/>
  <c r="J2451"/>
  <c r="K2451" s="1"/>
  <c r="I2451"/>
  <c r="H2451"/>
  <c r="E2451"/>
  <c r="K2450"/>
  <c r="J2450"/>
  <c r="I2450"/>
  <c r="H2450"/>
  <c r="E2450"/>
  <c r="K2449"/>
  <c r="J2449"/>
  <c r="I2449"/>
  <c r="H2449"/>
  <c r="E2449"/>
  <c r="K2448"/>
  <c r="J2448"/>
  <c r="H2448"/>
  <c r="E2448"/>
  <c r="J2447"/>
  <c r="I2447"/>
  <c r="K2447" s="1"/>
  <c r="H2447"/>
  <c r="E2447"/>
  <c r="J2446"/>
  <c r="K2446" s="1"/>
  <c r="I2446"/>
  <c r="H2446"/>
  <c r="E2446"/>
  <c r="K2445"/>
  <c r="J2445"/>
  <c r="I2445"/>
  <c r="H2445"/>
  <c r="E2445"/>
  <c r="K2444"/>
  <c r="J2444"/>
  <c r="I2444"/>
  <c r="H2444"/>
  <c r="E2444"/>
  <c r="J2443"/>
  <c r="I2443"/>
  <c r="K2443" s="1"/>
  <c r="H2443"/>
  <c r="E2443"/>
  <c r="J2442"/>
  <c r="K2442" s="1"/>
  <c r="I2442"/>
  <c r="H2442"/>
  <c r="E2442"/>
  <c r="K2441"/>
  <c r="J2441"/>
  <c r="I2441"/>
  <c r="H2441"/>
  <c r="E2441"/>
  <c r="K2440"/>
  <c r="J2440"/>
  <c r="I2440"/>
  <c r="H2440"/>
  <c r="E2440"/>
  <c r="I2439"/>
  <c r="H2439"/>
  <c r="G2439"/>
  <c r="G2503" s="1"/>
  <c r="E2439"/>
  <c r="K2438"/>
  <c r="J2438"/>
  <c r="I2438"/>
  <c r="H2438"/>
  <c r="E2438"/>
  <c r="K2437"/>
  <c r="J2437"/>
  <c r="I2437"/>
  <c r="H2437"/>
  <c r="E2437"/>
  <c r="J2436"/>
  <c r="I2436"/>
  <c r="K2436" s="1"/>
  <c r="H2436"/>
  <c r="E2436"/>
  <c r="J2435"/>
  <c r="K2435" s="1"/>
  <c r="I2435"/>
  <c r="H2435"/>
  <c r="E2435"/>
  <c r="K2434"/>
  <c r="J2434"/>
  <c r="I2434"/>
  <c r="H2434"/>
  <c r="E2434"/>
  <c r="K2433"/>
  <c r="J2433"/>
  <c r="I2433"/>
  <c r="H2433"/>
  <c r="E2433"/>
  <c r="J2432"/>
  <c r="I2432"/>
  <c r="K2432" s="1"/>
  <c r="H2432"/>
  <c r="E2432"/>
  <c r="J2431"/>
  <c r="K2431" s="1"/>
  <c r="I2431"/>
  <c r="H2431"/>
  <c r="E2431"/>
  <c r="K2430"/>
  <c r="J2430"/>
  <c r="I2430"/>
  <c r="H2430"/>
  <c r="E2430"/>
  <c r="K2429"/>
  <c r="J2429"/>
  <c r="I2429"/>
  <c r="H2429"/>
  <c r="E2429"/>
  <c r="J2428"/>
  <c r="I2428"/>
  <c r="K2428" s="1"/>
  <c r="H2428"/>
  <c r="E2428"/>
  <c r="J2427"/>
  <c r="K2427" s="1"/>
  <c r="I2427"/>
  <c r="H2427"/>
  <c r="E2427"/>
  <c r="K2426"/>
  <c r="J2426"/>
  <c r="I2426"/>
  <c r="H2426"/>
  <c r="E2426"/>
  <c r="K2425"/>
  <c r="J2425"/>
  <c r="I2425"/>
  <c r="H2425"/>
  <c r="E2425"/>
  <c r="J2424"/>
  <c r="I2424"/>
  <c r="K2424" s="1"/>
  <c r="H2424"/>
  <c r="E2424"/>
  <c r="J2423"/>
  <c r="K2423" s="1"/>
  <c r="I2423"/>
  <c r="H2423"/>
  <c r="E2423"/>
  <c r="K2422"/>
  <c r="J2422"/>
  <c r="I2422"/>
  <c r="H2422"/>
  <c r="E2422"/>
  <c r="K2421"/>
  <c r="J2421"/>
  <c r="I2421"/>
  <c r="H2421"/>
  <c r="E2421"/>
  <c r="J2420"/>
  <c r="I2420"/>
  <c r="K2420" s="1"/>
  <c r="H2420"/>
  <c r="E2420"/>
  <c r="J2419"/>
  <c r="K2419" s="1"/>
  <c r="I2419"/>
  <c r="H2419"/>
  <c r="E2419"/>
  <c r="K2418"/>
  <c r="J2418"/>
  <c r="H2418"/>
  <c r="E2418"/>
  <c r="K2417"/>
  <c r="J2417"/>
  <c r="I2417"/>
  <c r="H2417"/>
  <c r="E2417"/>
  <c r="K2416"/>
  <c r="J2416"/>
  <c r="I2416"/>
  <c r="H2416"/>
  <c r="E2416"/>
  <c r="J2415"/>
  <c r="I2415"/>
  <c r="K2415" s="1"/>
  <c r="H2415"/>
  <c r="E2415"/>
  <c r="J2414"/>
  <c r="K2414" s="1"/>
  <c r="I2414"/>
  <c r="H2414"/>
  <c r="E2414"/>
  <c r="K2413"/>
  <c r="J2413"/>
  <c r="I2413"/>
  <c r="H2413"/>
  <c r="E2413"/>
  <c r="K2412"/>
  <c r="J2412"/>
  <c r="I2412"/>
  <c r="H2412"/>
  <c r="E2412"/>
  <c r="J2411"/>
  <c r="I2411"/>
  <c r="K2411" s="1"/>
  <c r="H2411"/>
  <c r="E2411"/>
  <c r="J2410"/>
  <c r="K2410" s="1"/>
  <c r="I2410"/>
  <c r="H2410"/>
  <c r="E2410"/>
  <c r="K2409"/>
  <c r="J2409"/>
  <c r="I2409"/>
  <c r="H2409"/>
  <c r="E2409"/>
  <c r="K2408"/>
  <c r="J2408"/>
  <c r="I2408"/>
  <c r="H2408"/>
  <c r="E2408"/>
  <c r="J2407"/>
  <c r="I2407"/>
  <c r="K2407" s="1"/>
  <c r="H2407"/>
  <c r="E2407"/>
  <c r="J2406"/>
  <c r="K2406" s="1"/>
  <c r="I2406"/>
  <c r="H2406"/>
  <c r="E2406"/>
  <c r="K2405"/>
  <c r="J2405"/>
  <c r="I2405"/>
  <c r="H2405"/>
  <c r="E2405"/>
  <c r="K2404"/>
  <c r="J2404"/>
  <c r="I2404"/>
  <c r="H2404"/>
  <c r="E2404"/>
  <c r="J2403"/>
  <c r="I2403"/>
  <c r="K2403" s="1"/>
  <c r="H2403"/>
  <c r="E2403"/>
  <c r="J2402"/>
  <c r="K2402" s="1"/>
  <c r="I2402"/>
  <c r="H2402"/>
  <c r="E2402"/>
  <c r="K2401"/>
  <c r="J2401"/>
  <c r="I2401"/>
  <c r="H2401"/>
  <c r="E2401"/>
  <c r="K2400"/>
  <c r="J2400"/>
  <c r="I2400"/>
  <c r="H2400"/>
  <c r="E2400"/>
  <c r="J2399"/>
  <c r="I2399"/>
  <c r="K2399" s="1"/>
  <c r="H2399"/>
  <c r="E2399"/>
  <c r="J2398"/>
  <c r="K2398" s="1"/>
  <c r="I2398"/>
  <c r="H2398"/>
  <c r="E2398"/>
  <c r="K2397"/>
  <c r="J2397"/>
  <c r="I2397"/>
  <c r="H2397"/>
  <c r="E2397"/>
  <c r="K2396"/>
  <c r="J2396"/>
  <c r="I2396"/>
  <c r="H2396"/>
  <c r="E2396"/>
  <c r="J2395"/>
  <c r="I2395"/>
  <c r="K2395" s="1"/>
  <c r="H2395"/>
  <c r="E2395"/>
  <c r="J2394"/>
  <c r="K2394" s="1"/>
  <c r="I2394"/>
  <c r="H2394"/>
  <c r="E2394"/>
  <c r="K2393"/>
  <c r="J2393"/>
  <c r="I2393"/>
  <c r="H2393"/>
  <c r="E2393"/>
  <c r="K2392"/>
  <c r="J2392"/>
  <c r="I2392"/>
  <c r="H2392"/>
  <c r="E2392"/>
  <c r="J2391"/>
  <c r="I2391"/>
  <c r="K2391" s="1"/>
  <c r="H2391"/>
  <c r="E2391"/>
  <c r="J2390"/>
  <c r="K2390" s="1"/>
  <c r="I2390"/>
  <c r="H2390"/>
  <c r="E2390"/>
  <c r="K2389"/>
  <c r="J2389"/>
  <c r="I2389"/>
  <c r="H2389"/>
  <c r="E2389"/>
  <c r="K2388"/>
  <c r="J2388"/>
  <c r="I2388"/>
  <c r="H2388"/>
  <c r="E2388"/>
  <c r="J2387"/>
  <c r="I2387"/>
  <c r="K2387" s="1"/>
  <c r="H2387"/>
  <c r="E2387"/>
  <c r="J2386"/>
  <c r="K2386" s="1"/>
  <c r="I2386"/>
  <c r="H2386"/>
  <c r="E2386"/>
  <c r="K2385"/>
  <c r="J2385"/>
  <c r="I2385"/>
  <c r="H2385"/>
  <c r="E2385"/>
  <c r="K2384"/>
  <c r="J2384"/>
  <c r="I2384"/>
  <c r="H2384"/>
  <c r="E2384"/>
  <c r="J2383"/>
  <c r="I2383"/>
  <c r="K2383" s="1"/>
  <c r="H2383"/>
  <c r="E2383"/>
  <c r="J2382"/>
  <c r="K2382" s="1"/>
  <c r="I2382"/>
  <c r="H2382"/>
  <c r="E2382"/>
  <c r="K2381"/>
  <c r="J2381"/>
  <c r="I2381"/>
  <c r="H2381"/>
  <c r="E2381"/>
  <c r="K2380"/>
  <c r="J2380"/>
  <c r="I2380"/>
  <c r="H2380"/>
  <c r="E2380"/>
  <c r="J2379"/>
  <c r="I2379"/>
  <c r="K2379" s="1"/>
  <c r="H2379"/>
  <c r="E2379"/>
  <c r="J2378"/>
  <c r="K2378" s="1"/>
  <c r="I2378"/>
  <c r="H2378"/>
  <c r="E2378"/>
  <c r="K2377"/>
  <c r="J2377"/>
  <c r="I2377"/>
  <c r="H2377"/>
  <c r="E2377"/>
  <c r="K2376"/>
  <c r="J2376"/>
  <c r="I2376"/>
  <c r="H2376"/>
  <c r="E2376"/>
  <c r="J2375"/>
  <c r="I2375"/>
  <c r="K2375" s="1"/>
  <c r="H2375"/>
  <c r="E2375"/>
  <c r="J2374"/>
  <c r="K2374" s="1"/>
  <c r="I2374"/>
  <c r="H2374"/>
  <c r="E2374"/>
  <c r="K2373"/>
  <c r="J2373"/>
  <c r="I2373"/>
  <c r="H2373"/>
  <c r="E2373"/>
  <c r="K2372"/>
  <c r="J2372"/>
  <c r="I2372"/>
  <c r="H2372"/>
  <c r="E2372"/>
  <c r="J2371"/>
  <c r="I2371"/>
  <c r="K2371" s="1"/>
  <c r="H2371"/>
  <c r="E2371"/>
  <c r="J2370"/>
  <c r="K2370" s="1"/>
  <c r="I2370"/>
  <c r="H2370"/>
  <c r="E2370"/>
  <c r="K2369"/>
  <c r="J2369"/>
  <c r="I2369"/>
  <c r="H2369"/>
  <c r="E2369"/>
  <c r="K2368"/>
  <c r="J2368"/>
  <c r="I2368"/>
  <c r="H2368"/>
  <c r="E2368"/>
  <c r="J2367"/>
  <c r="I2367"/>
  <c r="K2367" s="1"/>
  <c r="H2367"/>
  <c r="E2367"/>
  <c r="J2366"/>
  <c r="K2366" s="1"/>
  <c r="I2366"/>
  <c r="H2366"/>
  <c r="E2366"/>
  <c r="K2365"/>
  <c r="J2365"/>
  <c r="I2365"/>
  <c r="H2365"/>
  <c r="E2365"/>
  <c r="K2364"/>
  <c r="J2364"/>
  <c r="I2364"/>
  <c r="H2364"/>
  <c r="E2364"/>
  <c r="J2363"/>
  <c r="I2363"/>
  <c r="K2363" s="1"/>
  <c r="H2363"/>
  <c r="E2363"/>
  <c r="J2362"/>
  <c r="K2362" s="1"/>
  <c r="I2362"/>
  <c r="H2362"/>
  <c r="E2362"/>
  <c r="K2361"/>
  <c r="J2361"/>
  <c r="I2361"/>
  <c r="H2361"/>
  <c r="E2361"/>
  <c r="K2360"/>
  <c r="J2360"/>
  <c r="I2360"/>
  <c r="H2360"/>
  <c r="E2360"/>
  <c r="J2359"/>
  <c r="I2359"/>
  <c r="K2359" s="1"/>
  <c r="H2359"/>
  <c r="E2359"/>
  <c r="J2358"/>
  <c r="K2358" s="1"/>
  <c r="I2358"/>
  <c r="H2358"/>
  <c r="E2358"/>
  <c r="K2357"/>
  <c r="J2357"/>
  <c r="I2357"/>
  <c r="H2357"/>
  <c r="E2357"/>
  <c r="K2356"/>
  <c r="J2356"/>
  <c r="I2356"/>
  <c r="H2356"/>
  <c r="E2356"/>
  <c r="J2355"/>
  <c r="I2355"/>
  <c r="K2355" s="1"/>
  <c r="H2355"/>
  <c r="E2355"/>
  <c r="J2354"/>
  <c r="K2354" s="1"/>
  <c r="I2354"/>
  <c r="H2354"/>
  <c r="E2354"/>
  <c r="K2353"/>
  <c r="J2353"/>
  <c r="I2353"/>
  <c r="H2353"/>
  <c r="E2353"/>
  <c r="K2352"/>
  <c r="J2352"/>
  <c r="I2352"/>
  <c r="H2352"/>
  <c r="E2352"/>
  <c r="J2351"/>
  <c r="I2351"/>
  <c r="K2351" s="1"/>
  <c r="H2351"/>
  <c r="E2351"/>
  <c r="J2350"/>
  <c r="K2350" s="1"/>
  <c r="I2350"/>
  <c r="H2350"/>
  <c r="E2350"/>
  <c r="K2349"/>
  <c r="J2349"/>
  <c r="I2349"/>
  <c r="H2349"/>
  <c r="E2349"/>
  <c r="K2348"/>
  <c r="J2348"/>
  <c r="I2348"/>
  <c r="H2348"/>
  <c r="E2348"/>
  <c r="J2347"/>
  <c r="I2347"/>
  <c r="K2347" s="1"/>
  <c r="H2347"/>
  <c r="E2347"/>
  <c r="J2346"/>
  <c r="K2346" s="1"/>
  <c r="I2346"/>
  <c r="H2346"/>
  <c r="E2346"/>
  <c r="K2345"/>
  <c r="J2345"/>
  <c r="I2345"/>
  <c r="H2345"/>
  <c r="E2345"/>
  <c r="K2344"/>
  <c r="J2344"/>
  <c r="I2344"/>
  <c r="H2344"/>
  <c r="E2344"/>
  <c r="J2343"/>
  <c r="I2343"/>
  <c r="K2343" s="1"/>
  <c r="H2343"/>
  <c r="E2343"/>
  <c r="J2342"/>
  <c r="K2342" s="1"/>
  <c r="I2342"/>
  <c r="H2342"/>
  <c r="E2342"/>
  <c r="K2341"/>
  <c r="J2341"/>
  <c r="I2341"/>
  <c r="H2341"/>
  <c r="E2341"/>
  <c r="K2340"/>
  <c r="J2340"/>
  <c r="I2340"/>
  <c r="H2340"/>
  <c r="E2340"/>
  <c r="K2339"/>
  <c r="J2339"/>
  <c r="H2339"/>
  <c r="E2339"/>
  <c r="J2338"/>
  <c r="I2338"/>
  <c r="K2338" s="1"/>
  <c r="H2338"/>
  <c r="E2338"/>
  <c r="J2337"/>
  <c r="K2337" s="1"/>
  <c r="I2337"/>
  <c r="H2337"/>
  <c r="E2337"/>
  <c r="K2336"/>
  <c r="J2336"/>
  <c r="I2336"/>
  <c r="H2336"/>
  <c r="E2336"/>
  <c r="K2335"/>
  <c r="J2335"/>
  <c r="I2335"/>
  <c r="H2335"/>
  <c r="E2335"/>
  <c r="J2334"/>
  <c r="I2334"/>
  <c r="K2334" s="1"/>
  <c r="H2334"/>
  <c r="E2334"/>
  <c r="J2333"/>
  <c r="K2333" s="1"/>
  <c r="I2333"/>
  <c r="H2333"/>
  <c r="E2333"/>
  <c r="K2332"/>
  <c r="J2332"/>
  <c r="I2332"/>
  <c r="H2332"/>
  <c r="E2332"/>
  <c r="K2331"/>
  <c r="J2331"/>
  <c r="I2331"/>
  <c r="H2331"/>
  <c r="E2331"/>
  <c r="J2330"/>
  <c r="I2330"/>
  <c r="K2330" s="1"/>
  <c r="H2330"/>
  <c r="E2330"/>
  <c r="J2329"/>
  <c r="K2329" s="1"/>
  <c r="I2329"/>
  <c r="H2329"/>
  <c r="E2329"/>
  <c r="K2328"/>
  <c r="J2328"/>
  <c r="I2328"/>
  <c r="H2328"/>
  <c r="E2328"/>
  <c r="K2327"/>
  <c r="J2327"/>
  <c r="I2327"/>
  <c r="H2327"/>
  <c r="E2327"/>
  <c r="J2326"/>
  <c r="I2326"/>
  <c r="K2326" s="1"/>
  <c r="H2326"/>
  <c r="E2326"/>
  <c r="J2325"/>
  <c r="K2325" s="1"/>
  <c r="I2325"/>
  <c r="H2325"/>
  <c r="E2325"/>
  <c r="K2324"/>
  <c r="J2324"/>
  <c r="I2324"/>
  <c r="H2324"/>
  <c r="E2324"/>
  <c r="K2323"/>
  <c r="J2323"/>
  <c r="I2323"/>
  <c r="H2323"/>
  <c r="E2323"/>
  <c r="J2322"/>
  <c r="I2322"/>
  <c r="K2322" s="1"/>
  <c r="H2322"/>
  <c r="E2322"/>
  <c r="J2321"/>
  <c r="K2321" s="1"/>
  <c r="I2321"/>
  <c r="H2321"/>
  <c r="E2321"/>
  <c r="K2320"/>
  <c r="J2320"/>
  <c r="I2320"/>
  <c r="H2320"/>
  <c r="E2320"/>
  <c r="K2319"/>
  <c r="J2319"/>
  <c r="I2319"/>
  <c r="H2319"/>
  <c r="E2319"/>
  <c r="J2318"/>
  <c r="I2318"/>
  <c r="K2318" s="1"/>
  <c r="H2318"/>
  <c r="E2318"/>
  <c r="J2317"/>
  <c r="K2317" s="1"/>
  <c r="H2317"/>
  <c r="E2317"/>
  <c r="J2316"/>
  <c r="K2316" s="1"/>
  <c r="I2316"/>
  <c r="H2316"/>
  <c r="E2316"/>
  <c r="K2315"/>
  <c r="J2315"/>
  <c r="I2315"/>
  <c r="H2315"/>
  <c r="E2315"/>
  <c r="K2314"/>
  <c r="J2314"/>
  <c r="I2314"/>
  <c r="H2314"/>
  <c r="E2314"/>
  <c r="J2313"/>
  <c r="I2313"/>
  <c r="K2313" s="1"/>
  <c r="H2313"/>
  <c r="E2313"/>
  <c r="J2312"/>
  <c r="I2312"/>
  <c r="H2312"/>
  <c r="E2312"/>
  <c r="K2311"/>
  <c r="J2311"/>
  <c r="I2311"/>
  <c r="H2311"/>
  <c r="E2311"/>
  <c r="K2310"/>
  <c r="J2310"/>
  <c r="I2310"/>
  <c r="H2310"/>
  <c r="E2310"/>
  <c r="J2309"/>
  <c r="I2309"/>
  <c r="K2309" s="1"/>
  <c r="H2309"/>
  <c r="E2309"/>
  <c r="J2308"/>
  <c r="K2308" s="1"/>
  <c r="H2308"/>
  <c r="E2308"/>
  <c r="F2305"/>
  <c r="F2598" s="1"/>
  <c r="G2304"/>
  <c r="H2304" s="1"/>
  <c r="F2304"/>
  <c r="D2304"/>
  <c r="E2304" s="1"/>
  <c r="C2304"/>
  <c r="K2303"/>
  <c r="J2303"/>
  <c r="I2303"/>
  <c r="H2303"/>
  <c r="E2303"/>
  <c r="J2302"/>
  <c r="K2302" s="1"/>
  <c r="I2302"/>
  <c r="H2302"/>
  <c r="E2302"/>
  <c r="J2301"/>
  <c r="K2301" s="1"/>
  <c r="I2301"/>
  <c r="H2301"/>
  <c r="E2301"/>
  <c r="K2300"/>
  <c r="J2300"/>
  <c r="I2300"/>
  <c r="H2300"/>
  <c r="E2300"/>
  <c r="K2299"/>
  <c r="J2299"/>
  <c r="I2299"/>
  <c r="H2299"/>
  <c r="E2299"/>
  <c r="J2298"/>
  <c r="K2298" s="1"/>
  <c r="I2298"/>
  <c r="H2298"/>
  <c r="E2298"/>
  <c r="J2297"/>
  <c r="K2297" s="1"/>
  <c r="I2297"/>
  <c r="H2297"/>
  <c r="E2297"/>
  <c r="K2296"/>
  <c r="J2296"/>
  <c r="H2296"/>
  <c r="E2296"/>
  <c r="K2295"/>
  <c r="J2295"/>
  <c r="I2295"/>
  <c r="H2295"/>
  <c r="E2295"/>
  <c r="K2294"/>
  <c r="J2294"/>
  <c r="I2294"/>
  <c r="H2294"/>
  <c r="E2294"/>
  <c r="J2293"/>
  <c r="K2293" s="1"/>
  <c r="I2293"/>
  <c r="H2293"/>
  <c r="E2293"/>
  <c r="J2292"/>
  <c r="K2292" s="1"/>
  <c r="I2292"/>
  <c r="H2292"/>
  <c r="E2292"/>
  <c r="K2291"/>
  <c r="J2291"/>
  <c r="I2291"/>
  <c r="H2291"/>
  <c r="E2291"/>
  <c r="K2290"/>
  <c r="J2290"/>
  <c r="I2290"/>
  <c r="H2290"/>
  <c r="E2290"/>
  <c r="J2289"/>
  <c r="K2289" s="1"/>
  <c r="I2289"/>
  <c r="H2289"/>
  <c r="E2289"/>
  <c r="J2288"/>
  <c r="K2288" s="1"/>
  <c r="I2288"/>
  <c r="H2288"/>
  <c r="E2288"/>
  <c r="K2287"/>
  <c r="J2287"/>
  <c r="I2287"/>
  <c r="H2287"/>
  <c r="E2287"/>
  <c r="K2286"/>
  <c r="J2286"/>
  <c r="I2286"/>
  <c r="H2286"/>
  <c r="E2286"/>
  <c r="J2285"/>
  <c r="K2285" s="1"/>
  <c r="I2285"/>
  <c r="H2285"/>
  <c r="E2285"/>
  <c r="J2284"/>
  <c r="K2284" s="1"/>
  <c r="I2284"/>
  <c r="H2284"/>
  <c r="E2284"/>
  <c r="K2283"/>
  <c r="J2283"/>
  <c r="I2283"/>
  <c r="H2283"/>
  <c r="E2283"/>
  <c r="K2282"/>
  <c r="J2282"/>
  <c r="I2282"/>
  <c r="H2282"/>
  <c r="E2282"/>
  <c r="J2281"/>
  <c r="K2281" s="1"/>
  <c r="I2281"/>
  <c r="H2281"/>
  <c r="E2281"/>
  <c r="J2280"/>
  <c r="K2280" s="1"/>
  <c r="I2280"/>
  <c r="H2280"/>
  <c r="E2280"/>
  <c r="K2279"/>
  <c r="J2279"/>
  <c r="I2279"/>
  <c r="H2279"/>
  <c r="E2279"/>
  <c r="K2278"/>
  <c r="J2278"/>
  <c r="I2278"/>
  <c r="H2278"/>
  <c r="E2278"/>
  <c r="J2277"/>
  <c r="K2277" s="1"/>
  <c r="H2277"/>
  <c r="E2277"/>
  <c r="J2276"/>
  <c r="K2276" s="1"/>
  <c r="I2276"/>
  <c r="H2276"/>
  <c r="E2276"/>
  <c r="J2275"/>
  <c r="K2275" s="1"/>
  <c r="I2275"/>
  <c r="H2275"/>
  <c r="E2275"/>
  <c r="K2274"/>
  <c r="J2274"/>
  <c r="I2274"/>
  <c r="H2274"/>
  <c r="E2274"/>
  <c r="K2273"/>
  <c r="J2273"/>
  <c r="I2273"/>
  <c r="H2273"/>
  <c r="E2273"/>
  <c r="J2272"/>
  <c r="K2272" s="1"/>
  <c r="I2272"/>
  <c r="H2272"/>
  <c r="E2272"/>
  <c r="J2271"/>
  <c r="K2271" s="1"/>
  <c r="I2271"/>
  <c r="H2271"/>
  <c r="E2271"/>
  <c r="K2270"/>
  <c r="J2270"/>
  <c r="I2270"/>
  <c r="H2270"/>
  <c r="E2270"/>
  <c r="K2269"/>
  <c r="J2269"/>
  <c r="I2269"/>
  <c r="H2269"/>
  <c r="E2269"/>
  <c r="J2268"/>
  <c r="K2268" s="1"/>
  <c r="H2268"/>
  <c r="E2268"/>
  <c r="J2267"/>
  <c r="K2267" s="1"/>
  <c r="I2267"/>
  <c r="H2267"/>
  <c r="E2267"/>
  <c r="J2266"/>
  <c r="K2266" s="1"/>
  <c r="I2266"/>
  <c r="H2266"/>
  <c r="E2266"/>
  <c r="K2265"/>
  <c r="J2265"/>
  <c r="I2265"/>
  <c r="H2265"/>
  <c r="E2265"/>
  <c r="K2264"/>
  <c r="J2264"/>
  <c r="I2264"/>
  <c r="H2264"/>
  <c r="E2264"/>
  <c r="J2263"/>
  <c r="K2263" s="1"/>
  <c r="I2263"/>
  <c r="H2263"/>
  <c r="E2263"/>
  <c r="J2262"/>
  <c r="K2262" s="1"/>
  <c r="I2262"/>
  <c r="H2262"/>
  <c r="E2262"/>
  <c r="K2261"/>
  <c r="J2261"/>
  <c r="I2261"/>
  <c r="H2261"/>
  <c r="E2261"/>
  <c r="K2260"/>
  <c r="J2260"/>
  <c r="I2260"/>
  <c r="H2260"/>
  <c r="E2260"/>
  <c r="J2259"/>
  <c r="K2259" s="1"/>
  <c r="I2259"/>
  <c r="H2259"/>
  <c r="E2259"/>
  <c r="J2258"/>
  <c r="K2258" s="1"/>
  <c r="I2258"/>
  <c r="H2258"/>
  <c r="E2258"/>
  <c r="K2257"/>
  <c r="J2257"/>
  <c r="I2257"/>
  <c r="H2257"/>
  <c r="E2257"/>
  <c r="K2256"/>
  <c r="J2256"/>
  <c r="I2256"/>
  <c r="H2256"/>
  <c r="E2256"/>
  <c r="J2255"/>
  <c r="K2255" s="1"/>
  <c r="I2255"/>
  <c r="H2255"/>
  <c r="E2255"/>
  <c r="J2254"/>
  <c r="K2254" s="1"/>
  <c r="I2254"/>
  <c r="H2254"/>
  <c r="E2254"/>
  <c r="K2253"/>
  <c r="J2253"/>
  <c r="I2253"/>
  <c r="H2253"/>
  <c r="E2253"/>
  <c r="K2252"/>
  <c r="J2252"/>
  <c r="I2252"/>
  <c r="H2252"/>
  <c r="E2252"/>
  <c r="J2251"/>
  <c r="K2251" s="1"/>
  <c r="I2251"/>
  <c r="H2251"/>
  <c r="E2251"/>
  <c r="J2250"/>
  <c r="K2250" s="1"/>
  <c r="I2250"/>
  <c r="H2250"/>
  <c r="E2250"/>
  <c r="K2249"/>
  <c r="J2249"/>
  <c r="I2249"/>
  <c r="H2249"/>
  <c r="E2249"/>
  <c r="K2248"/>
  <c r="J2248"/>
  <c r="H2248"/>
  <c r="E2248"/>
  <c r="K2247"/>
  <c r="J2247"/>
  <c r="I2247"/>
  <c r="H2247"/>
  <c r="E2247"/>
  <c r="J2246"/>
  <c r="K2246" s="1"/>
  <c r="I2246"/>
  <c r="H2246"/>
  <c r="E2246"/>
  <c r="J2245"/>
  <c r="K2245" s="1"/>
  <c r="I2245"/>
  <c r="H2245"/>
  <c r="E2245"/>
  <c r="K2244"/>
  <c r="J2244"/>
  <c r="I2244"/>
  <c r="H2244"/>
  <c r="E2244"/>
  <c r="K2243"/>
  <c r="J2243"/>
  <c r="I2243"/>
  <c r="H2243"/>
  <c r="E2243"/>
  <c r="J2242"/>
  <c r="K2242" s="1"/>
  <c r="I2242"/>
  <c r="H2242"/>
  <c r="E2242"/>
  <c r="J2241"/>
  <c r="K2241" s="1"/>
  <c r="I2241"/>
  <c r="H2241"/>
  <c r="E2241"/>
  <c r="K2240"/>
  <c r="J2240"/>
  <c r="I2240"/>
  <c r="H2240"/>
  <c r="E2240"/>
  <c r="K2239"/>
  <c r="J2239"/>
  <c r="I2239"/>
  <c r="H2239"/>
  <c r="E2239"/>
  <c r="J2238"/>
  <c r="K2238" s="1"/>
  <c r="I2238"/>
  <c r="H2238"/>
  <c r="E2238"/>
  <c r="J2237"/>
  <c r="K2237" s="1"/>
  <c r="I2237"/>
  <c r="H2237"/>
  <c r="E2237"/>
  <c r="K2236"/>
  <c r="J2236"/>
  <c r="I2236"/>
  <c r="H2236"/>
  <c r="E2236"/>
  <c r="K2235"/>
  <c r="J2235"/>
  <c r="I2235"/>
  <c r="H2235"/>
  <c r="E2235"/>
  <c r="J2234"/>
  <c r="K2234" s="1"/>
  <c r="I2234"/>
  <c r="H2234"/>
  <c r="E2234"/>
  <c r="J2233"/>
  <c r="K2233" s="1"/>
  <c r="I2233"/>
  <c r="H2233"/>
  <c r="E2233"/>
  <c r="K2232"/>
  <c r="J2232"/>
  <c r="I2232"/>
  <c r="H2232"/>
  <c r="E2232"/>
  <c r="K2231"/>
  <c r="J2231"/>
  <c r="I2231"/>
  <c r="H2231"/>
  <c r="E2231"/>
  <c r="J2230"/>
  <c r="K2230" s="1"/>
  <c r="I2230"/>
  <c r="H2230"/>
  <c r="E2230"/>
  <c r="J2229"/>
  <c r="K2229" s="1"/>
  <c r="I2229"/>
  <c r="H2229"/>
  <c r="E2229"/>
  <c r="K2228"/>
  <c r="J2228"/>
  <c r="I2228"/>
  <c r="H2228"/>
  <c r="E2228"/>
  <c r="K2227"/>
  <c r="J2227"/>
  <c r="I2227"/>
  <c r="H2227"/>
  <c r="E2227"/>
  <c r="J2226"/>
  <c r="K2226" s="1"/>
  <c r="I2226"/>
  <c r="H2226"/>
  <c r="E2226"/>
  <c r="J2225"/>
  <c r="K2225" s="1"/>
  <c r="I2225"/>
  <c r="H2225"/>
  <c r="E2225"/>
  <c r="K2224"/>
  <c r="J2224"/>
  <c r="I2224"/>
  <c r="H2224"/>
  <c r="E2224"/>
  <c r="K2223"/>
  <c r="J2223"/>
  <c r="I2223"/>
  <c r="H2223"/>
  <c r="E2223"/>
  <c r="J2222"/>
  <c r="K2222" s="1"/>
  <c r="I2222"/>
  <c r="H2222"/>
  <c r="E2222"/>
  <c r="J2221"/>
  <c r="K2221" s="1"/>
  <c r="I2221"/>
  <c r="H2221"/>
  <c r="E2221"/>
  <c r="K2220"/>
  <c r="J2220"/>
  <c r="I2220"/>
  <c r="H2220"/>
  <c r="E2220"/>
  <c r="K2219"/>
  <c r="J2219"/>
  <c r="I2219"/>
  <c r="H2219"/>
  <c r="E2219"/>
  <c r="J2218"/>
  <c r="K2218" s="1"/>
  <c r="I2218"/>
  <c r="H2218"/>
  <c r="E2218"/>
  <c r="J2217"/>
  <c r="K2217" s="1"/>
  <c r="I2217"/>
  <c r="H2217"/>
  <c r="E2217"/>
  <c r="K2216"/>
  <c r="J2216"/>
  <c r="I2216"/>
  <c r="H2216"/>
  <c r="E2216"/>
  <c r="K2215"/>
  <c r="J2215"/>
  <c r="I2215"/>
  <c r="H2215"/>
  <c r="E2215"/>
  <c r="J2214"/>
  <c r="K2214" s="1"/>
  <c r="H2214"/>
  <c r="E2214"/>
  <c r="J2213"/>
  <c r="K2213" s="1"/>
  <c r="I2213"/>
  <c r="H2213"/>
  <c r="E2213"/>
  <c r="J2212"/>
  <c r="K2212" s="1"/>
  <c r="I2212"/>
  <c r="H2212"/>
  <c r="E2212"/>
  <c r="K2211"/>
  <c r="J2211"/>
  <c r="I2211"/>
  <c r="H2211"/>
  <c r="E2211"/>
  <c r="K2210"/>
  <c r="J2210"/>
  <c r="I2210"/>
  <c r="H2210"/>
  <c r="E2210"/>
  <c r="J2209"/>
  <c r="K2209" s="1"/>
  <c r="I2209"/>
  <c r="H2209"/>
  <c r="E2209"/>
  <c r="J2208"/>
  <c r="K2208" s="1"/>
  <c r="I2208"/>
  <c r="H2208"/>
  <c r="E2208"/>
  <c r="K2207"/>
  <c r="J2207"/>
  <c r="I2207"/>
  <c r="H2207"/>
  <c r="E2207"/>
  <c r="K2206"/>
  <c r="J2206"/>
  <c r="I2206"/>
  <c r="H2206"/>
  <c r="E2206"/>
  <c r="J2205"/>
  <c r="K2205" s="1"/>
  <c r="I2205"/>
  <c r="H2205"/>
  <c r="E2205"/>
  <c r="J2204"/>
  <c r="K2204" s="1"/>
  <c r="I2204"/>
  <c r="H2204"/>
  <c r="E2204"/>
  <c r="K2203"/>
  <c r="J2203"/>
  <c r="I2203"/>
  <c r="H2203"/>
  <c r="E2203"/>
  <c r="K2202"/>
  <c r="J2202"/>
  <c r="I2202"/>
  <c r="H2202"/>
  <c r="E2202"/>
  <c r="J2201"/>
  <c r="K2201" s="1"/>
  <c r="I2201"/>
  <c r="H2201"/>
  <c r="E2201"/>
  <c r="J2200"/>
  <c r="K2200" s="1"/>
  <c r="I2200"/>
  <c r="H2200"/>
  <c r="E2200"/>
  <c r="K2199"/>
  <c r="J2199"/>
  <c r="I2199"/>
  <c r="H2199"/>
  <c r="E2199"/>
  <c r="K2198"/>
  <c r="J2198"/>
  <c r="I2198"/>
  <c r="H2198"/>
  <c r="E2198"/>
  <c r="J2197"/>
  <c r="K2197" s="1"/>
  <c r="I2197"/>
  <c r="H2197"/>
  <c r="E2197"/>
  <c r="J2196"/>
  <c r="K2196" s="1"/>
  <c r="I2196"/>
  <c r="H2196"/>
  <c r="E2196"/>
  <c r="K2195"/>
  <c r="J2195"/>
  <c r="I2195"/>
  <c r="H2195"/>
  <c r="E2195"/>
  <c r="K2194"/>
  <c r="J2194"/>
  <c r="I2194"/>
  <c r="H2194"/>
  <c r="E2194"/>
  <c r="J2193"/>
  <c r="K2193" s="1"/>
  <c r="I2193"/>
  <c r="H2193"/>
  <c r="E2193"/>
  <c r="J2192"/>
  <c r="K2192" s="1"/>
  <c r="I2192"/>
  <c r="H2192"/>
  <c r="E2192"/>
  <c r="K2191"/>
  <c r="J2191"/>
  <c r="I2191"/>
  <c r="H2191"/>
  <c r="E2191"/>
  <c r="K2190"/>
  <c r="J2190"/>
  <c r="I2190"/>
  <c r="H2190"/>
  <c r="E2190"/>
  <c r="J2189"/>
  <c r="K2189" s="1"/>
  <c r="I2189"/>
  <c r="H2189"/>
  <c r="E2189"/>
  <c r="J2188"/>
  <c r="K2188" s="1"/>
  <c r="I2188"/>
  <c r="H2188"/>
  <c r="E2188"/>
  <c r="K2187"/>
  <c r="J2187"/>
  <c r="J2304" s="1"/>
  <c r="K2304" s="1"/>
  <c r="I2187"/>
  <c r="I2304" s="1"/>
  <c r="H2187"/>
  <c r="E2187"/>
  <c r="H2185"/>
  <c r="G2185"/>
  <c r="G2305" s="1"/>
  <c r="F2185"/>
  <c r="D2185"/>
  <c r="D2305" s="1"/>
  <c r="C2185"/>
  <c r="C2305" s="1"/>
  <c r="C2598" s="1"/>
  <c r="J2184"/>
  <c r="I2184"/>
  <c r="K2184" s="1"/>
  <c r="H2184"/>
  <c r="E2184"/>
  <c r="J2183"/>
  <c r="K2183" s="1"/>
  <c r="I2183"/>
  <c r="H2183"/>
  <c r="E2183"/>
  <c r="K2182"/>
  <c r="J2182"/>
  <c r="I2182"/>
  <c r="H2182"/>
  <c r="E2182"/>
  <c r="K2181"/>
  <c r="J2181"/>
  <c r="I2181"/>
  <c r="H2181"/>
  <c r="E2181"/>
  <c r="J2180"/>
  <c r="I2180"/>
  <c r="K2180" s="1"/>
  <c r="H2180"/>
  <c r="E2180"/>
  <c r="J2179"/>
  <c r="K2179" s="1"/>
  <c r="I2179"/>
  <c r="H2179"/>
  <c r="E2179"/>
  <c r="K2178"/>
  <c r="J2178"/>
  <c r="I2178"/>
  <c r="H2178"/>
  <c r="E2178"/>
  <c r="K2177"/>
  <c r="J2177"/>
  <c r="I2177"/>
  <c r="H2177"/>
  <c r="E2177"/>
  <c r="J2176"/>
  <c r="I2176"/>
  <c r="K2176" s="1"/>
  <c r="H2176"/>
  <c r="E2176"/>
  <c r="J2175"/>
  <c r="K2175" s="1"/>
  <c r="I2175"/>
  <c r="H2175"/>
  <c r="E2175"/>
  <c r="K2174"/>
  <c r="J2174"/>
  <c r="I2174"/>
  <c r="H2174"/>
  <c r="E2174"/>
  <c r="K2173"/>
  <c r="J2173"/>
  <c r="I2173"/>
  <c r="H2173"/>
  <c r="E2173"/>
  <c r="J2172"/>
  <c r="I2172"/>
  <c r="K2172" s="1"/>
  <c r="H2172"/>
  <c r="E2172"/>
  <c r="J2171"/>
  <c r="K2171" s="1"/>
  <c r="I2171"/>
  <c r="H2171"/>
  <c r="E2171"/>
  <c r="K2170"/>
  <c r="J2170"/>
  <c r="I2170"/>
  <c r="H2170"/>
  <c r="E2170"/>
  <c r="K2169"/>
  <c r="J2169"/>
  <c r="I2169"/>
  <c r="H2169"/>
  <c r="E2169"/>
  <c r="J2168"/>
  <c r="I2168"/>
  <c r="K2168" s="1"/>
  <c r="H2168"/>
  <c r="E2168"/>
  <c r="J2167"/>
  <c r="K2167" s="1"/>
  <c r="I2167"/>
  <c r="H2167"/>
  <c r="E2167"/>
  <c r="K2166"/>
  <c r="J2166"/>
  <c r="I2166"/>
  <c r="H2166"/>
  <c r="E2166"/>
  <c r="K2165"/>
  <c r="J2165"/>
  <c r="I2165"/>
  <c r="H2165"/>
  <c r="E2165"/>
  <c r="J2164"/>
  <c r="I2164"/>
  <c r="K2164" s="1"/>
  <c r="H2164"/>
  <c r="E2164"/>
  <c r="J2163"/>
  <c r="K2163" s="1"/>
  <c r="I2163"/>
  <c r="H2163"/>
  <c r="E2163"/>
  <c r="K2162"/>
  <c r="J2162"/>
  <c r="I2162"/>
  <c r="H2162"/>
  <c r="E2162"/>
  <c r="K2161"/>
  <c r="J2161"/>
  <c r="I2161"/>
  <c r="H2161"/>
  <c r="E2161"/>
  <c r="J2160"/>
  <c r="I2160"/>
  <c r="K2160" s="1"/>
  <c r="H2160"/>
  <c r="E2160"/>
  <c r="J2159"/>
  <c r="K2159" s="1"/>
  <c r="I2159"/>
  <c r="H2159"/>
  <c r="E2159"/>
  <c r="K2158"/>
  <c r="J2158"/>
  <c r="I2158"/>
  <c r="H2158"/>
  <c r="E2158"/>
  <c r="K2157"/>
  <c r="J2157"/>
  <c r="I2157"/>
  <c r="H2157"/>
  <c r="E2157"/>
  <c r="K2156"/>
  <c r="J2156"/>
  <c r="H2156"/>
  <c r="E2156"/>
  <c r="J2155"/>
  <c r="I2155"/>
  <c r="K2155" s="1"/>
  <c r="H2155"/>
  <c r="E2155"/>
  <c r="J2154"/>
  <c r="K2154" s="1"/>
  <c r="I2154"/>
  <c r="H2154"/>
  <c r="E2154"/>
  <c r="K2153"/>
  <c r="J2153"/>
  <c r="I2153"/>
  <c r="H2153"/>
  <c r="E2153"/>
  <c r="K2152"/>
  <c r="J2152"/>
  <c r="I2152"/>
  <c r="H2152"/>
  <c r="E2152"/>
  <c r="J2151"/>
  <c r="I2151"/>
  <c r="K2151" s="1"/>
  <c r="H2151"/>
  <c r="E2151"/>
  <c r="J2150"/>
  <c r="K2150" s="1"/>
  <c r="I2150"/>
  <c r="H2150"/>
  <c r="E2150"/>
  <c r="K2149"/>
  <c r="J2149"/>
  <c r="I2149"/>
  <c r="H2149"/>
  <c r="E2149"/>
  <c r="K2148"/>
  <c r="J2148"/>
  <c r="I2148"/>
  <c r="H2148"/>
  <c r="E2148"/>
  <c r="J2147"/>
  <c r="I2147"/>
  <c r="K2147" s="1"/>
  <c r="H2147"/>
  <c r="E2147"/>
  <c r="J2146"/>
  <c r="K2146" s="1"/>
  <c r="I2146"/>
  <c r="H2146"/>
  <c r="E2146"/>
  <c r="K2145"/>
  <c r="J2145"/>
  <c r="I2145"/>
  <c r="H2145"/>
  <c r="E2145"/>
  <c r="K2144"/>
  <c r="J2144"/>
  <c r="H2144"/>
  <c r="E2144"/>
  <c r="K2143"/>
  <c r="J2143"/>
  <c r="I2143"/>
  <c r="H2143"/>
  <c r="E2143"/>
  <c r="J2142"/>
  <c r="I2142"/>
  <c r="K2142" s="1"/>
  <c r="H2142"/>
  <c r="E2142"/>
  <c r="J2141"/>
  <c r="K2141" s="1"/>
  <c r="I2141"/>
  <c r="H2141"/>
  <c r="E2141"/>
  <c r="K2140"/>
  <c r="J2140"/>
  <c r="I2140"/>
  <c r="H2140"/>
  <c r="E2140"/>
  <c r="K2139"/>
  <c r="J2139"/>
  <c r="I2139"/>
  <c r="H2139"/>
  <c r="E2139"/>
  <c r="J2138"/>
  <c r="I2138"/>
  <c r="K2138" s="1"/>
  <c r="H2138"/>
  <c r="E2138"/>
  <c r="J2137"/>
  <c r="K2137" s="1"/>
  <c r="I2137"/>
  <c r="H2137"/>
  <c r="E2137"/>
  <c r="K2136"/>
  <c r="J2136"/>
  <c r="I2136"/>
  <c r="H2136"/>
  <c r="E2136"/>
  <c r="K2135"/>
  <c r="J2135"/>
  <c r="I2135"/>
  <c r="H2135"/>
  <c r="E2135"/>
  <c r="J2134"/>
  <c r="I2134"/>
  <c r="K2134" s="1"/>
  <c r="H2134"/>
  <c r="E2134"/>
  <c r="J2133"/>
  <c r="K2133" s="1"/>
  <c r="I2133"/>
  <c r="H2133"/>
  <c r="E2133"/>
  <c r="K2132"/>
  <c r="J2132"/>
  <c r="I2132"/>
  <c r="H2132"/>
  <c r="E2132"/>
  <c r="K2131"/>
  <c r="J2131"/>
  <c r="I2131"/>
  <c r="H2131"/>
  <c r="E2131"/>
  <c r="J2130"/>
  <c r="I2130"/>
  <c r="K2130" s="1"/>
  <c r="H2130"/>
  <c r="E2130"/>
  <c r="J2129"/>
  <c r="K2129" s="1"/>
  <c r="I2129"/>
  <c r="H2129"/>
  <c r="E2129"/>
  <c r="K2128"/>
  <c r="J2128"/>
  <c r="I2128"/>
  <c r="H2128"/>
  <c r="E2128"/>
  <c r="K2127"/>
  <c r="J2127"/>
  <c r="I2127"/>
  <c r="H2127"/>
  <c r="E2127"/>
  <c r="J2126"/>
  <c r="I2126"/>
  <c r="K2126" s="1"/>
  <c r="H2126"/>
  <c r="E2126"/>
  <c r="J2125"/>
  <c r="K2125" s="1"/>
  <c r="I2125"/>
  <c r="H2125"/>
  <c r="E2125"/>
  <c r="K2124"/>
  <c r="J2124"/>
  <c r="I2124"/>
  <c r="H2124"/>
  <c r="E2124"/>
  <c r="K2123"/>
  <c r="J2123"/>
  <c r="I2123"/>
  <c r="H2123"/>
  <c r="E2123"/>
  <c r="J2122"/>
  <c r="I2122"/>
  <c r="K2122" s="1"/>
  <c r="H2122"/>
  <c r="E2122"/>
  <c r="J2121"/>
  <c r="K2121" s="1"/>
  <c r="I2121"/>
  <c r="H2121"/>
  <c r="E2121"/>
  <c r="K2120"/>
  <c r="J2120"/>
  <c r="I2120"/>
  <c r="H2120"/>
  <c r="E2120"/>
  <c r="K2119"/>
  <c r="J2119"/>
  <c r="I2119"/>
  <c r="H2119"/>
  <c r="E2119"/>
  <c r="J2118"/>
  <c r="I2118"/>
  <c r="K2118" s="1"/>
  <c r="H2118"/>
  <c r="E2118"/>
  <c r="J2117"/>
  <c r="K2117" s="1"/>
  <c r="I2117"/>
  <c r="H2117"/>
  <c r="E2117"/>
  <c r="K2116"/>
  <c r="J2116"/>
  <c r="I2116"/>
  <c r="H2116"/>
  <c r="E2116"/>
  <c r="K2115"/>
  <c r="J2115"/>
  <c r="I2115"/>
  <c r="H2115"/>
  <c r="E2115"/>
  <c r="J2114"/>
  <c r="I2114"/>
  <c r="K2114" s="1"/>
  <c r="H2114"/>
  <c r="E2114"/>
  <c r="J2113"/>
  <c r="K2113" s="1"/>
  <c r="I2113"/>
  <c r="H2113"/>
  <c r="E2113"/>
  <c r="K2112"/>
  <c r="J2112"/>
  <c r="I2112"/>
  <c r="H2112"/>
  <c r="E2112"/>
  <c r="K2111"/>
  <c r="J2111"/>
  <c r="I2111"/>
  <c r="H2111"/>
  <c r="E2111"/>
  <c r="J2110"/>
  <c r="I2110"/>
  <c r="K2110" s="1"/>
  <c r="H2110"/>
  <c r="E2110"/>
  <c r="J2109"/>
  <c r="K2109" s="1"/>
  <c r="I2109"/>
  <c r="H2109"/>
  <c r="E2109"/>
  <c r="K2108"/>
  <c r="J2108"/>
  <c r="I2108"/>
  <c r="H2108"/>
  <c r="E2108"/>
  <c r="K2107"/>
  <c r="J2107"/>
  <c r="I2107"/>
  <c r="H2107"/>
  <c r="E2107"/>
  <c r="J2106"/>
  <c r="I2106"/>
  <c r="K2106" s="1"/>
  <c r="H2106"/>
  <c r="E2106"/>
  <c r="J2105"/>
  <c r="K2105" s="1"/>
  <c r="I2105"/>
  <c r="H2105"/>
  <c r="E2105"/>
  <c r="K2104"/>
  <c r="J2104"/>
  <c r="I2104"/>
  <c r="H2104"/>
  <c r="E2104"/>
  <c r="K2103"/>
  <c r="J2103"/>
  <c r="I2103"/>
  <c r="H2103"/>
  <c r="E2103"/>
  <c r="J2102"/>
  <c r="I2102"/>
  <c r="K2102" s="1"/>
  <c r="H2102"/>
  <c r="E2102"/>
  <c r="J2101"/>
  <c r="K2101" s="1"/>
  <c r="I2101"/>
  <c r="H2101"/>
  <c r="E2101"/>
  <c r="K2100"/>
  <c r="J2100"/>
  <c r="I2100"/>
  <c r="H2100"/>
  <c r="E2100"/>
  <c r="K2099"/>
  <c r="J2099"/>
  <c r="I2099"/>
  <c r="H2099"/>
  <c r="E2099"/>
  <c r="J2098"/>
  <c r="I2098"/>
  <c r="K2098" s="1"/>
  <c r="H2098"/>
  <c r="E2098"/>
  <c r="J2097"/>
  <c r="K2097" s="1"/>
  <c r="I2097"/>
  <c r="H2097"/>
  <c r="E2097"/>
  <c r="K2096"/>
  <c r="J2096"/>
  <c r="I2096"/>
  <c r="H2096"/>
  <c r="E2096"/>
  <c r="K2095"/>
  <c r="J2095"/>
  <c r="I2095"/>
  <c r="H2095"/>
  <c r="E2095"/>
  <c r="J2094"/>
  <c r="I2094"/>
  <c r="K2094" s="1"/>
  <c r="H2094"/>
  <c r="E2094"/>
  <c r="J2093"/>
  <c r="K2093" s="1"/>
  <c r="I2093"/>
  <c r="H2093"/>
  <c r="E2093"/>
  <c r="K2092"/>
  <c r="J2092"/>
  <c r="I2092"/>
  <c r="H2092"/>
  <c r="E2092"/>
  <c r="K2091"/>
  <c r="J2091"/>
  <c r="I2091"/>
  <c r="H2091"/>
  <c r="E2091"/>
  <c r="J2090"/>
  <c r="I2090"/>
  <c r="K2090" s="1"/>
  <c r="H2090"/>
  <c r="E2090"/>
  <c r="J2089"/>
  <c r="K2089" s="1"/>
  <c r="I2089"/>
  <c r="H2089"/>
  <c r="E2089"/>
  <c r="K2088"/>
  <c r="J2088"/>
  <c r="I2088"/>
  <c r="H2088"/>
  <c r="E2088"/>
  <c r="K2087"/>
  <c r="J2087"/>
  <c r="I2087"/>
  <c r="H2087"/>
  <c r="E2087"/>
  <c r="J2086"/>
  <c r="I2086"/>
  <c r="K2086" s="1"/>
  <c r="H2086"/>
  <c r="E2086"/>
  <c r="J2085"/>
  <c r="K2085" s="1"/>
  <c r="I2085"/>
  <c r="H2085"/>
  <c r="E2085"/>
  <c r="K2084"/>
  <c r="J2084"/>
  <c r="I2084"/>
  <c r="H2084"/>
  <c r="E2084"/>
  <c r="K2083"/>
  <c r="J2083"/>
  <c r="I2083"/>
  <c r="H2083"/>
  <c r="E2083"/>
  <c r="J2082"/>
  <c r="I2082"/>
  <c r="K2082" s="1"/>
  <c r="H2082"/>
  <c r="E2082"/>
  <c r="J2081"/>
  <c r="K2081" s="1"/>
  <c r="I2081"/>
  <c r="H2081"/>
  <c r="E2081"/>
  <c r="K2080"/>
  <c r="J2080"/>
  <c r="I2080"/>
  <c r="H2080"/>
  <c r="E2080"/>
  <c r="K2079"/>
  <c r="J2079"/>
  <c r="I2079"/>
  <c r="H2079"/>
  <c r="E2079"/>
  <c r="J2078"/>
  <c r="I2078"/>
  <c r="K2078" s="1"/>
  <c r="H2078"/>
  <c r="E2078"/>
  <c r="J2077"/>
  <c r="K2077" s="1"/>
  <c r="I2077"/>
  <c r="H2077"/>
  <c r="E2077"/>
  <c r="K2076"/>
  <c r="J2076"/>
  <c r="I2076"/>
  <c r="H2076"/>
  <c r="E2076"/>
  <c r="K2075"/>
  <c r="J2075"/>
  <c r="I2075"/>
  <c r="H2075"/>
  <c r="E2075"/>
  <c r="J2074"/>
  <c r="I2074"/>
  <c r="K2074" s="1"/>
  <c r="H2074"/>
  <c r="E2074"/>
  <c r="J2073"/>
  <c r="K2073" s="1"/>
  <c r="I2073"/>
  <c r="H2073"/>
  <c r="E2073"/>
  <c r="K2072"/>
  <c r="J2072"/>
  <c r="I2072"/>
  <c r="H2072"/>
  <c r="E2072"/>
  <c r="K2071"/>
  <c r="J2071"/>
  <c r="I2071"/>
  <c r="H2071"/>
  <c r="E2071"/>
  <c r="J2070"/>
  <c r="I2070"/>
  <c r="K2070" s="1"/>
  <c r="H2070"/>
  <c r="E2070"/>
  <c r="J2069"/>
  <c r="K2069" s="1"/>
  <c r="I2069"/>
  <c r="H2069"/>
  <c r="E2069"/>
  <c r="K2068"/>
  <c r="J2068"/>
  <c r="I2068"/>
  <c r="H2068"/>
  <c r="E2068"/>
  <c r="K2067"/>
  <c r="J2067"/>
  <c r="I2067"/>
  <c r="H2067"/>
  <c r="E2067"/>
  <c r="J2066"/>
  <c r="I2066"/>
  <c r="K2066" s="1"/>
  <c r="H2066"/>
  <c r="E2066"/>
  <c r="J2065"/>
  <c r="K2065" s="1"/>
  <c r="I2065"/>
  <c r="H2065"/>
  <c r="E2065"/>
  <c r="K2064"/>
  <c r="J2064"/>
  <c r="I2064"/>
  <c r="H2064"/>
  <c r="E2064"/>
  <c r="K2063"/>
  <c r="J2063"/>
  <c r="H2063"/>
  <c r="E2063"/>
  <c r="K2062"/>
  <c r="J2062"/>
  <c r="I2062"/>
  <c r="H2062"/>
  <c r="E2062"/>
  <c r="J2061"/>
  <c r="I2061"/>
  <c r="K2061" s="1"/>
  <c r="H2061"/>
  <c r="E2061"/>
  <c r="J2060"/>
  <c r="K2060" s="1"/>
  <c r="I2060"/>
  <c r="H2060"/>
  <c r="E2060"/>
  <c r="K2059"/>
  <c r="J2059"/>
  <c r="I2059"/>
  <c r="H2059"/>
  <c r="E2059"/>
  <c r="K2058"/>
  <c r="J2058"/>
  <c r="I2058"/>
  <c r="H2058"/>
  <c r="E2058"/>
  <c r="J2057"/>
  <c r="I2057"/>
  <c r="K2057" s="1"/>
  <c r="H2057"/>
  <c r="E2057"/>
  <c r="J2056"/>
  <c r="K2056" s="1"/>
  <c r="I2056"/>
  <c r="H2056"/>
  <c r="E2056"/>
  <c r="K2055"/>
  <c r="J2055"/>
  <c r="I2055"/>
  <c r="H2055"/>
  <c r="E2055"/>
  <c r="K2054"/>
  <c r="J2054"/>
  <c r="I2054"/>
  <c r="H2054"/>
  <c r="E2054"/>
  <c r="J2053"/>
  <c r="I2053"/>
  <c r="K2053" s="1"/>
  <c r="H2053"/>
  <c r="E2053"/>
  <c r="J2052"/>
  <c r="K2052" s="1"/>
  <c r="I2052"/>
  <c r="H2052"/>
  <c r="E2052"/>
  <c r="K2051"/>
  <c r="J2051"/>
  <c r="I2051"/>
  <c r="H2051"/>
  <c r="E2051"/>
  <c r="K2050"/>
  <c r="J2050"/>
  <c r="I2050"/>
  <c r="H2050"/>
  <c r="E2050"/>
  <c r="J2049"/>
  <c r="I2049"/>
  <c r="K2049" s="1"/>
  <c r="H2049"/>
  <c r="E2049"/>
  <c r="J2048"/>
  <c r="K2048" s="1"/>
  <c r="I2048"/>
  <c r="H2048"/>
  <c r="E2048"/>
  <c r="K2047"/>
  <c r="J2047"/>
  <c r="I2047"/>
  <c r="H2047"/>
  <c r="E2047"/>
  <c r="K2046"/>
  <c r="J2046"/>
  <c r="I2046"/>
  <c r="H2046"/>
  <c r="E2046"/>
  <c r="J2045"/>
  <c r="I2045"/>
  <c r="K2045" s="1"/>
  <c r="H2045"/>
  <c r="E2045"/>
  <c r="J2044"/>
  <c r="K2044" s="1"/>
  <c r="I2044"/>
  <c r="H2044"/>
  <c r="E2044"/>
  <c r="K2043"/>
  <c r="J2043"/>
  <c r="I2043"/>
  <c r="H2043"/>
  <c r="E2043"/>
  <c r="K2042"/>
  <c r="J2042"/>
  <c r="I2042"/>
  <c r="H2042"/>
  <c r="E2042"/>
  <c r="J2041"/>
  <c r="I2041"/>
  <c r="K2041" s="1"/>
  <c r="H2041"/>
  <c r="E2041"/>
  <c r="G2029"/>
  <c r="H2029" s="1"/>
  <c r="F2029"/>
  <c r="C2029"/>
  <c r="D2028"/>
  <c r="I2027"/>
  <c r="I2030" s="1"/>
  <c r="F2027"/>
  <c r="E2027"/>
  <c r="D2027"/>
  <c r="C2027"/>
  <c r="J2026"/>
  <c r="K2026" s="1"/>
  <c r="I2026"/>
  <c r="H2026"/>
  <c r="G2026"/>
  <c r="G2027" s="1"/>
  <c r="K2025"/>
  <c r="J2025"/>
  <c r="I2025"/>
  <c r="H2025"/>
  <c r="K2024"/>
  <c r="J2024"/>
  <c r="I2024"/>
  <c r="H2024"/>
  <c r="K2023"/>
  <c r="J2023"/>
  <c r="I2023"/>
  <c r="H2023"/>
  <c r="K2022"/>
  <c r="J2022"/>
  <c r="I2022"/>
  <c r="H2022"/>
  <c r="K2021"/>
  <c r="J2021"/>
  <c r="I2021"/>
  <c r="H2021"/>
  <c r="K2020"/>
  <c r="J2020"/>
  <c r="I2020"/>
  <c r="H2020"/>
  <c r="K2019"/>
  <c r="J2019"/>
  <c r="I2019"/>
  <c r="H2019"/>
  <c r="K2018"/>
  <c r="J2018"/>
  <c r="I2018"/>
  <c r="H2018"/>
  <c r="K2017"/>
  <c r="J2017"/>
  <c r="I2017"/>
  <c r="H2017"/>
  <c r="K2016"/>
  <c r="J2016"/>
  <c r="I2016"/>
  <c r="H2016"/>
  <c r="K2015"/>
  <c r="J2015"/>
  <c r="I2015"/>
  <c r="H2015"/>
  <c r="K2014"/>
  <c r="J2014"/>
  <c r="I2014"/>
  <c r="H2014"/>
  <c r="K2013"/>
  <c r="J2013"/>
  <c r="I2013"/>
  <c r="H2013"/>
  <c r="K2012"/>
  <c r="J2012"/>
  <c r="I2012"/>
  <c r="H2012"/>
  <c r="K2011"/>
  <c r="J2011"/>
  <c r="I2011"/>
  <c r="H2011"/>
  <c r="K2010"/>
  <c r="J2010"/>
  <c r="I2010"/>
  <c r="H2010"/>
  <c r="K2009"/>
  <c r="J2009"/>
  <c r="I2009"/>
  <c r="H2009"/>
  <c r="K2008"/>
  <c r="J2008"/>
  <c r="I2008"/>
  <c r="H2008"/>
  <c r="K2007"/>
  <c r="J2007"/>
  <c r="I2007"/>
  <c r="H2007"/>
  <c r="K2006"/>
  <c r="J2006"/>
  <c r="I2006"/>
  <c r="H2006"/>
  <c r="K2005"/>
  <c r="J2005"/>
  <c r="I2005"/>
  <c r="H2005"/>
  <c r="K2004"/>
  <c r="J2004"/>
  <c r="I2004"/>
  <c r="H2004"/>
  <c r="K2003"/>
  <c r="J2003"/>
  <c r="I2003"/>
  <c r="H2003"/>
  <c r="K2002"/>
  <c r="J2002"/>
  <c r="I2002"/>
  <c r="H2002"/>
  <c r="K2001"/>
  <c r="J2001"/>
  <c r="I2001"/>
  <c r="H2001"/>
  <c r="K2000"/>
  <c r="J2000"/>
  <c r="I2000"/>
  <c r="H2000"/>
  <c r="K1999"/>
  <c r="J1999"/>
  <c r="I1999"/>
  <c r="H1999"/>
  <c r="K1998"/>
  <c r="J1998"/>
  <c r="I1998"/>
  <c r="H1998"/>
  <c r="K1997"/>
  <c r="J1997"/>
  <c r="I1997"/>
  <c r="H1997"/>
  <c r="K1996"/>
  <c r="J1996"/>
  <c r="J2027" s="1"/>
  <c r="I1996"/>
  <c r="H1996"/>
  <c r="G1994"/>
  <c r="G2028" s="1"/>
  <c r="H2028" s="1"/>
  <c r="F1994"/>
  <c r="F2028" s="1"/>
  <c r="F2030" s="1"/>
  <c r="D1994"/>
  <c r="E1994" s="1"/>
  <c r="C1994"/>
  <c r="C2028" s="1"/>
  <c r="K1993"/>
  <c r="J1993"/>
  <c r="I1993"/>
  <c r="H1993"/>
  <c r="E1993"/>
  <c r="J1992"/>
  <c r="K1992" s="1"/>
  <c r="I1992"/>
  <c r="H1992"/>
  <c r="E1992"/>
  <c r="J1991"/>
  <c r="K1991" s="1"/>
  <c r="I1991"/>
  <c r="H1991"/>
  <c r="E1991"/>
  <c r="K1990"/>
  <c r="J1990"/>
  <c r="I1990"/>
  <c r="H1990"/>
  <c r="E1990"/>
  <c r="I1989"/>
  <c r="H1989"/>
  <c r="E1989"/>
  <c r="D1989"/>
  <c r="J1989" s="1"/>
  <c r="K1989" s="1"/>
  <c r="J1988"/>
  <c r="K1988" s="1"/>
  <c r="I1988"/>
  <c r="G1988"/>
  <c r="H1988" s="1"/>
  <c r="E1988"/>
  <c r="K1987"/>
  <c r="J1987"/>
  <c r="I1987"/>
  <c r="H1987"/>
  <c r="E1987"/>
  <c r="J1986"/>
  <c r="K1986" s="1"/>
  <c r="I1986"/>
  <c r="H1986"/>
  <c r="E1986"/>
  <c r="J1985"/>
  <c r="K1985" s="1"/>
  <c r="I1985"/>
  <c r="H1985"/>
  <c r="E1985"/>
  <c r="K1984"/>
  <c r="J1984"/>
  <c r="I1984"/>
  <c r="H1984"/>
  <c r="E1984"/>
  <c r="K1983"/>
  <c r="J1983"/>
  <c r="I1983"/>
  <c r="H1983"/>
  <c r="E1983"/>
  <c r="J1982"/>
  <c r="K1982" s="1"/>
  <c r="I1982"/>
  <c r="H1982"/>
  <c r="E1982"/>
  <c r="J1981"/>
  <c r="K1981" s="1"/>
  <c r="I1981"/>
  <c r="H1981"/>
  <c r="E1981"/>
  <c r="K1980"/>
  <c r="J1980"/>
  <c r="I1980"/>
  <c r="H1980"/>
  <c r="E1980"/>
  <c r="K1979"/>
  <c r="J1979"/>
  <c r="I1979"/>
  <c r="H1979"/>
  <c r="E1979"/>
  <c r="J1978"/>
  <c r="K1978" s="1"/>
  <c r="I1978"/>
  <c r="H1978"/>
  <c r="E1978"/>
  <c r="J1977"/>
  <c r="K1977" s="1"/>
  <c r="I1977"/>
  <c r="H1977"/>
  <c r="E1977"/>
  <c r="K1976"/>
  <c r="J1976"/>
  <c r="I1976"/>
  <c r="H1976"/>
  <c r="E1976"/>
  <c r="K1975"/>
  <c r="J1975"/>
  <c r="I1975"/>
  <c r="H1975"/>
  <c r="E1975"/>
  <c r="J1974"/>
  <c r="K1974" s="1"/>
  <c r="I1974"/>
  <c r="H1974"/>
  <c r="E1974"/>
  <c r="J1973"/>
  <c r="K1973" s="1"/>
  <c r="I1973"/>
  <c r="H1973"/>
  <c r="E1973"/>
  <c r="K1972"/>
  <c r="J1972"/>
  <c r="I1972"/>
  <c r="H1972"/>
  <c r="E1972"/>
  <c r="K1971"/>
  <c r="J1971"/>
  <c r="I1971"/>
  <c r="H1971"/>
  <c r="E1971"/>
  <c r="J1970"/>
  <c r="K1970" s="1"/>
  <c r="I1970"/>
  <c r="H1970"/>
  <c r="E1970"/>
  <c r="J1969"/>
  <c r="K1969" s="1"/>
  <c r="I1969"/>
  <c r="H1969"/>
  <c r="E1969"/>
  <c r="K1968"/>
  <c r="J1968"/>
  <c r="I1968"/>
  <c r="H1968"/>
  <c r="E1968"/>
  <c r="K1967"/>
  <c r="J1967"/>
  <c r="I1967"/>
  <c r="H1967"/>
  <c r="E1967"/>
  <c r="J1966"/>
  <c r="K1966" s="1"/>
  <c r="I1966"/>
  <c r="H1966"/>
  <c r="E1966"/>
  <c r="J1965"/>
  <c r="K1965" s="1"/>
  <c r="I1965"/>
  <c r="H1965"/>
  <c r="E1965"/>
  <c r="K1964"/>
  <c r="J1964"/>
  <c r="I1964"/>
  <c r="H1964"/>
  <c r="E1964"/>
  <c r="K1963"/>
  <c r="J1963"/>
  <c r="I1963"/>
  <c r="H1963"/>
  <c r="E1963"/>
  <c r="J1962"/>
  <c r="K1962" s="1"/>
  <c r="I1962"/>
  <c r="H1962"/>
  <c r="E1962"/>
  <c r="J1961"/>
  <c r="K1961" s="1"/>
  <c r="I1961"/>
  <c r="H1961"/>
  <c r="E1961"/>
  <c r="K1960"/>
  <c r="J1960"/>
  <c r="I1960"/>
  <c r="H1960"/>
  <c r="E1960"/>
  <c r="K1959"/>
  <c r="J1959"/>
  <c r="I1959"/>
  <c r="H1959"/>
  <c r="E1959"/>
  <c r="J1958"/>
  <c r="K1958" s="1"/>
  <c r="I1958"/>
  <c r="H1958"/>
  <c r="E1958"/>
  <c r="J1957"/>
  <c r="K1957" s="1"/>
  <c r="I1957"/>
  <c r="H1957"/>
  <c r="E1957"/>
  <c r="K1956"/>
  <c r="J1956"/>
  <c r="I1956"/>
  <c r="H1956"/>
  <c r="E1956"/>
  <c r="K1955"/>
  <c r="J1955"/>
  <c r="I1955"/>
  <c r="H1955"/>
  <c r="E1955"/>
  <c r="J1954"/>
  <c r="K1954" s="1"/>
  <c r="I1954"/>
  <c r="H1954"/>
  <c r="G1954"/>
  <c r="E1954"/>
  <c r="K1953"/>
  <c r="J1953"/>
  <c r="I1953"/>
  <c r="H1953"/>
  <c r="E1953"/>
  <c r="K1952"/>
  <c r="J1952"/>
  <c r="I1952"/>
  <c r="H1952"/>
  <c r="E1952"/>
  <c r="J1951"/>
  <c r="K1951" s="1"/>
  <c r="I1951"/>
  <c r="H1951"/>
  <c r="E1951"/>
  <c r="J1950"/>
  <c r="K1950" s="1"/>
  <c r="I1950"/>
  <c r="H1950"/>
  <c r="E1950"/>
  <c r="K1949"/>
  <c r="J1949"/>
  <c r="I1949"/>
  <c r="H1949"/>
  <c r="E1949"/>
  <c r="K1948"/>
  <c r="J1948"/>
  <c r="I1948"/>
  <c r="H1948"/>
  <c r="E1948"/>
  <c r="J1947"/>
  <c r="K1947" s="1"/>
  <c r="I1947"/>
  <c r="H1947"/>
  <c r="E1947"/>
  <c r="J1946"/>
  <c r="K1946" s="1"/>
  <c r="I1946"/>
  <c r="H1946"/>
  <c r="E1946"/>
  <c r="K1945"/>
  <c r="J1945"/>
  <c r="I1945"/>
  <c r="H1945"/>
  <c r="E1945"/>
  <c r="K1944"/>
  <c r="J1944"/>
  <c r="I1944"/>
  <c r="H1944"/>
  <c r="E1944"/>
  <c r="J1943"/>
  <c r="K1943" s="1"/>
  <c r="I1943"/>
  <c r="H1943"/>
  <c r="E1943"/>
  <c r="J1942"/>
  <c r="K1942" s="1"/>
  <c r="I1942"/>
  <c r="H1942"/>
  <c r="E1942"/>
  <c r="K1941"/>
  <c r="J1941"/>
  <c r="I1941"/>
  <c r="H1941"/>
  <c r="E1941"/>
  <c r="K1940"/>
  <c r="J1940"/>
  <c r="I1940"/>
  <c r="H1940"/>
  <c r="E1940"/>
  <c r="J1939"/>
  <c r="K1939" s="1"/>
  <c r="I1939"/>
  <c r="H1939"/>
  <c r="E1939"/>
  <c r="J1938"/>
  <c r="K1938" s="1"/>
  <c r="I1938"/>
  <c r="H1938"/>
  <c r="E1938"/>
  <c r="K1937"/>
  <c r="J1937"/>
  <c r="I1937"/>
  <c r="H1937"/>
  <c r="E1937"/>
  <c r="K1936"/>
  <c r="J1936"/>
  <c r="I1936"/>
  <c r="H1936"/>
  <c r="E1936"/>
  <c r="J1935"/>
  <c r="K1935" s="1"/>
  <c r="I1935"/>
  <c r="H1935"/>
  <c r="E1935"/>
  <c r="J1934"/>
  <c r="K1934" s="1"/>
  <c r="I1934"/>
  <c r="H1934"/>
  <c r="E1934"/>
  <c r="K1933"/>
  <c r="J1933"/>
  <c r="I1933"/>
  <c r="H1933"/>
  <c r="E1933"/>
  <c r="K1932"/>
  <c r="J1932"/>
  <c r="I1932"/>
  <c r="H1932"/>
  <c r="E1932"/>
  <c r="J1931"/>
  <c r="K1931" s="1"/>
  <c r="I1931"/>
  <c r="H1931"/>
  <c r="E1931"/>
  <c r="J1930"/>
  <c r="K1930" s="1"/>
  <c r="I1930"/>
  <c r="H1930"/>
  <c r="E1930"/>
  <c r="K1929"/>
  <c r="J1929"/>
  <c r="I1929"/>
  <c r="H1929"/>
  <c r="E1929"/>
  <c r="K1928"/>
  <c r="J1928"/>
  <c r="I1928"/>
  <c r="H1928"/>
  <c r="E1928"/>
  <c r="J1927"/>
  <c r="K1927" s="1"/>
  <c r="I1927"/>
  <c r="H1927"/>
  <c r="E1927"/>
  <c r="J1926"/>
  <c r="K1926" s="1"/>
  <c r="I1926"/>
  <c r="H1926"/>
  <c r="E1926"/>
  <c r="K1925"/>
  <c r="J1925"/>
  <c r="I1925"/>
  <c r="H1925"/>
  <c r="E1925"/>
  <c r="K1924"/>
  <c r="J1924"/>
  <c r="I1924"/>
  <c r="H1924"/>
  <c r="E1924"/>
  <c r="J1923"/>
  <c r="K1923" s="1"/>
  <c r="I1923"/>
  <c r="H1923"/>
  <c r="E1923"/>
  <c r="J1922"/>
  <c r="K1922" s="1"/>
  <c r="I1922"/>
  <c r="H1922"/>
  <c r="E1922"/>
  <c r="K1921"/>
  <c r="J1921"/>
  <c r="I1921"/>
  <c r="H1921"/>
  <c r="E1921"/>
  <c r="K1920"/>
  <c r="J1920"/>
  <c r="I1920"/>
  <c r="H1920"/>
  <c r="E1920"/>
  <c r="J1919"/>
  <c r="K1919" s="1"/>
  <c r="I1919"/>
  <c r="H1919"/>
  <c r="E1919"/>
  <c r="J1918"/>
  <c r="K1918" s="1"/>
  <c r="H1918"/>
  <c r="E1918"/>
  <c r="J1917"/>
  <c r="K1917" s="1"/>
  <c r="H1917"/>
  <c r="E1917"/>
  <c r="J1916"/>
  <c r="K1916" s="1"/>
  <c r="I1916"/>
  <c r="H1916"/>
  <c r="E1916"/>
  <c r="K1915"/>
  <c r="J1915"/>
  <c r="I1915"/>
  <c r="H1915"/>
  <c r="E1915"/>
  <c r="K1914"/>
  <c r="J1914"/>
  <c r="I1914"/>
  <c r="H1914"/>
  <c r="E1914"/>
  <c r="J1913"/>
  <c r="K1913" s="1"/>
  <c r="I1913"/>
  <c r="H1913"/>
  <c r="E1913"/>
  <c r="J1912"/>
  <c r="K1912" s="1"/>
  <c r="I1912"/>
  <c r="H1912"/>
  <c r="E1912"/>
  <c r="K1911"/>
  <c r="J1911"/>
  <c r="I1911"/>
  <c r="H1911"/>
  <c r="E1911"/>
  <c r="K1910"/>
  <c r="J1910"/>
  <c r="I1910"/>
  <c r="H1910"/>
  <c r="E1910"/>
  <c r="J1909"/>
  <c r="K1909" s="1"/>
  <c r="I1909"/>
  <c r="H1909"/>
  <c r="E1909"/>
  <c r="J1908"/>
  <c r="K1908" s="1"/>
  <c r="I1908"/>
  <c r="H1908"/>
  <c r="E1908"/>
  <c r="K1907"/>
  <c r="J1907"/>
  <c r="I1907"/>
  <c r="H1907"/>
  <c r="E1907"/>
  <c r="K1906"/>
  <c r="J1906"/>
  <c r="I1906"/>
  <c r="H1906"/>
  <c r="E1906"/>
  <c r="J1905"/>
  <c r="K1905" s="1"/>
  <c r="I1905"/>
  <c r="H1905"/>
  <c r="E1905"/>
  <c r="J1904"/>
  <c r="K1904" s="1"/>
  <c r="I1904"/>
  <c r="H1904"/>
  <c r="E1904"/>
  <c r="K1903"/>
  <c r="J1903"/>
  <c r="I1903"/>
  <c r="H1903"/>
  <c r="E1903"/>
  <c r="K1902"/>
  <c r="J1902"/>
  <c r="I1902"/>
  <c r="H1902"/>
  <c r="E1902"/>
  <c r="J1901"/>
  <c r="K1901" s="1"/>
  <c r="I1901"/>
  <c r="H1901"/>
  <c r="E1901"/>
  <c r="J1900"/>
  <c r="K1900" s="1"/>
  <c r="I1900"/>
  <c r="H1900"/>
  <c r="E1900"/>
  <c r="K1899"/>
  <c r="J1899"/>
  <c r="I1899"/>
  <c r="H1899"/>
  <c r="E1899"/>
  <c r="K1898"/>
  <c r="J1898"/>
  <c r="I1898"/>
  <c r="H1898"/>
  <c r="E1898"/>
  <c r="J1897"/>
  <c r="K1897" s="1"/>
  <c r="I1897"/>
  <c r="H1897"/>
  <c r="E1897"/>
  <c r="J1896"/>
  <c r="K1896" s="1"/>
  <c r="I1896"/>
  <c r="H1896"/>
  <c r="E1896"/>
  <c r="K1895"/>
  <c r="J1895"/>
  <c r="I1895"/>
  <c r="H1895"/>
  <c r="E1895"/>
  <c r="K1894"/>
  <c r="J1894"/>
  <c r="I1894"/>
  <c r="H1894"/>
  <c r="E1894"/>
  <c r="J1893"/>
  <c r="K1893" s="1"/>
  <c r="I1893"/>
  <c r="H1893"/>
  <c r="E1893"/>
  <c r="J1892"/>
  <c r="K1892" s="1"/>
  <c r="I1892"/>
  <c r="H1892"/>
  <c r="E1892"/>
  <c r="K1891"/>
  <c r="J1891"/>
  <c r="I1891"/>
  <c r="H1891"/>
  <c r="E1891"/>
  <c r="K1890"/>
  <c r="J1890"/>
  <c r="I1890"/>
  <c r="H1890"/>
  <c r="E1890"/>
  <c r="J1889"/>
  <c r="K1889" s="1"/>
  <c r="I1889"/>
  <c r="H1889"/>
  <c r="E1889"/>
  <c r="J1888"/>
  <c r="K1888" s="1"/>
  <c r="I1888"/>
  <c r="H1888"/>
  <c r="E1888"/>
  <c r="K1887"/>
  <c r="J1887"/>
  <c r="I1887"/>
  <c r="H1887"/>
  <c r="E1887"/>
  <c r="K1886"/>
  <c r="J1886"/>
  <c r="I1886"/>
  <c r="H1886"/>
  <c r="E1886"/>
  <c r="J1885"/>
  <c r="K1885" s="1"/>
  <c r="I1885"/>
  <c r="H1885"/>
  <c r="E1885"/>
  <c r="J1884"/>
  <c r="K1884" s="1"/>
  <c r="I1884"/>
  <c r="H1884"/>
  <c r="E1884"/>
  <c r="K1883"/>
  <c r="J1883"/>
  <c r="I1883"/>
  <c r="H1883"/>
  <c r="E1883"/>
  <c r="K1882"/>
  <c r="J1882"/>
  <c r="I1882"/>
  <c r="H1882"/>
  <c r="E1882"/>
  <c r="J1881"/>
  <c r="K1881" s="1"/>
  <c r="I1881"/>
  <c r="H1881"/>
  <c r="E1881"/>
  <c r="J1880"/>
  <c r="K1880" s="1"/>
  <c r="I1880"/>
  <c r="H1880"/>
  <c r="E1880"/>
  <c r="K1879"/>
  <c r="J1879"/>
  <c r="I1879"/>
  <c r="H1879"/>
  <c r="E1879"/>
  <c r="K1878"/>
  <c r="J1878"/>
  <c r="I1878"/>
  <c r="H1878"/>
  <c r="E1878"/>
  <c r="J1877"/>
  <c r="K1877" s="1"/>
  <c r="I1877"/>
  <c r="H1877"/>
  <c r="E1877"/>
  <c r="J1876"/>
  <c r="K1876" s="1"/>
  <c r="I1876"/>
  <c r="H1876"/>
  <c r="E1876"/>
  <c r="K1875"/>
  <c r="J1875"/>
  <c r="I1875"/>
  <c r="H1875"/>
  <c r="E1875"/>
  <c r="K1874"/>
  <c r="J1874"/>
  <c r="I1874"/>
  <c r="H1874"/>
  <c r="E1874"/>
  <c r="J1873"/>
  <c r="K1873" s="1"/>
  <c r="I1873"/>
  <c r="H1873"/>
  <c r="E1873"/>
  <c r="J1872"/>
  <c r="K1872" s="1"/>
  <c r="I1872"/>
  <c r="H1872"/>
  <c r="E1872"/>
  <c r="K1871"/>
  <c r="J1871"/>
  <c r="I1871"/>
  <c r="H1871"/>
  <c r="E1871"/>
  <c r="K1870"/>
  <c r="J1870"/>
  <c r="I1870"/>
  <c r="H1870"/>
  <c r="E1870"/>
  <c r="J1869"/>
  <c r="K1869" s="1"/>
  <c r="I1869"/>
  <c r="H1869"/>
  <c r="E1869"/>
  <c r="J1868"/>
  <c r="K1868" s="1"/>
  <c r="H1868"/>
  <c r="E1868"/>
  <c r="J1867"/>
  <c r="K1867" s="1"/>
  <c r="I1867"/>
  <c r="H1867"/>
  <c r="E1867"/>
  <c r="K1866"/>
  <c r="J1866"/>
  <c r="I1866"/>
  <c r="H1866"/>
  <c r="E1866"/>
  <c r="K1865"/>
  <c r="J1865"/>
  <c r="I1865"/>
  <c r="H1865"/>
  <c r="E1865"/>
  <c r="J1864"/>
  <c r="K1864" s="1"/>
  <c r="I1864"/>
  <c r="H1864"/>
  <c r="E1864"/>
  <c r="J1863"/>
  <c r="K1863" s="1"/>
  <c r="I1863"/>
  <c r="H1863"/>
  <c r="E1863"/>
  <c r="K1862"/>
  <c r="J1862"/>
  <c r="I1862"/>
  <c r="H1862"/>
  <c r="E1862"/>
  <c r="K1861"/>
  <c r="J1861"/>
  <c r="I1861"/>
  <c r="H1861"/>
  <c r="E1861"/>
  <c r="J1860"/>
  <c r="K1860" s="1"/>
  <c r="I1860"/>
  <c r="H1860"/>
  <c r="E1860"/>
  <c r="J1859"/>
  <c r="K1859" s="1"/>
  <c r="I1859"/>
  <c r="H1859"/>
  <c r="E1859"/>
  <c r="K1858"/>
  <c r="J1858"/>
  <c r="I1858"/>
  <c r="H1858"/>
  <c r="E1858"/>
  <c r="K1857"/>
  <c r="J1857"/>
  <c r="I1857"/>
  <c r="H1857"/>
  <c r="E1857"/>
  <c r="J1856"/>
  <c r="K1856" s="1"/>
  <c r="I1856"/>
  <c r="H1856"/>
  <c r="E1856"/>
  <c r="J1855"/>
  <c r="K1855" s="1"/>
  <c r="I1855"/>
  <c r="H1855"/>
  <c r="E1855"/>
  <c r="K1854"/>
  <c r="J1854"/>
  <c r="I1854"/>
  <c r="H1854"/>
  <c r="E1854"/>
  <c r="K1853"/>
  <c r="J1853"/>
  <c r="I1853"/>
  <c r="H1853"/>
  <c r="E1853"/>
  <c r="J1852"/>
  <c r="K1852" s="1"/>
  <c r="I1852"/>
  <c r="H1852"/>
  <c r="E1852"/>
  <c r="J1851"/>
  <c r="K1851" s="1"/>
  <c r="I1851"/>
  <c r="H1851"/>
  <c r="E1851"/>
  <c r="K1850"/>
  <c r="J1850"/>
  <c r="H1850"/>
  <c r="E1850"/>
  <c r="K1849"/>
  <c r="J1849"/>
  <c r="I1849"/>
  <c r="H1849"/>
  <c r="E1849"/>
  <c r="K1848"/>
  <c r="J1848"/>
  <c r="I1848"/>
  <c r="H1848"/>
  <c r="E1848"/>
  <c r="J1847"/>
  <c r="K1847" s="1"/>
  <c r="I1847"/>
  <c r="H1847"/>
  <c r="E1847"/>
  <c r="J1846"/>
  <c r="K1846" s="1"/>
  <c r="I1846"/>
  <c r="H1846"/>
  <c r="E1846"/>
  <c r="K1845"/>
  <c r="J1845"/>
  <c r="I1845"/>
  <c r="H1845"/>
  <c r="E1845"/>
  <c r="K1844"/>
  <c r="J1844"/>
  <c r="I1844"/>
  <c r="H1844"/>
  <c r="E1844"/>
  <c r="J1843"/>
  <c r="K1843" s="1"/>
  <c r="I1843"/>
  <c r="H1843"/>
  <c r="E1843"/>
  <c r="J1842"/>
  <c r="K1842" s="1"/>
  <c r="I1842"/>
  <c r="H1842"/>
  <c r="E1842"/>
  <c r="K1841"/>
  <c r="J1841"/>
  <c r="J1994" s="1"/>
  <c r="I1841"/>
  <c r="I1994" s="1"/>
  <c r="I2028" s="1"/>
  <c r="H1841"/>
  <c r="E1841"/>
  <c r="H1839"/>
  <c r="G1839"/>
  <c r="F1839"/>
  <c r="D1839"/>
  <c r="D2029" s="1"/>
  <c r="E2029" s="1"/>
  <c r="C1839"/>
  <c r="J1838"/>
  <c r="K1838" s="1"/>
  <c r="I1838"/>
  <c r="H1838"/>
  <c r="E1838"/>
  <c r="J1837"/>
  <c r="K1837" s="1"/>
  <c r="I1837"/>
  <c r="H1837"/>
  <c r="E1837"/>
  <c r="K1836"/>
  <c r="J1836"/>
  <c r="I1836"/>
  <c r="H1836"/>
  <c r="E1836"/>
  <c r="K1835"/>
  <c r="J1835"/>
  <c r="I1835"/>
  <c r="H1835"/>
  <c r="E1835"/>
  <c r="J1834"/>
  <c r="K1834" s="1"/>
  <c r="I1834"/>
  <c r="H1834"/>
  <c r="E1834"/>
  <c r="J1833"/>
  <c r="K1833" s="1"/>
  <c r="I1833"/>
  <c r="H1833"/>
  <c r="E1833"/>
  <c r="K1832"/>
  <c r="J1832"/>
  <c r="I1832"/>
  <c r="H1832"/>
  <c r="E1832"/>
  <c r="K1831"/>
  <c r="J1831"/>
  <c r="I1831"/>
  <c r="H1831"/>
  <c r="E1831"/>
  <c r="J1830"/>
  <c r="K1830" s="1"/>
  <c r="I1830"/>
  <c r="H1830"/>
  <c r="E1830"/>
  <c r="J1829"/>
  <c r="K1829" s="1"/>
  <c r="I1829"/>
  <c r="H1829"/>
  <c r="E1829"/>
  <c r="K1828"/>
  <c r="J1828"/>
  <c r="I1828"/>
  <c r="H1828"/>
  <c r="E1828"/>
  <c r="K1827"/>
  <c r="J1827"/>
  <c r="I1827"/>
  <c r="H1827"/>
  <c r="E1827"/>
  <c r="J1826"/>
  <c r="K1826" s="1"/>
  <c r="I1826"/>
  <c r="H1826"/>
  <c r="E1826"/>
  <c r="J1825"/>
  <c r="K1825" s="1"/>
  <c r="I1825"/>
  <c r="H1825"/>
  <c r="E1825"/>
  <c r="K1824"/>
  <c r="J1824"/>
  <c r="I1824"/>
  <c r="H1824"/>
  <c r="E1824"/>
  <c r="K1823"/>
  <c r="J1823"/>
  <c r="I1823"/>
  <c r="H1823"/>
  <c r="E1823"/>
  <c r="J1822"/>
  <c r="K1822" s="1"/>
  <c r="I1822"/>
  <c r="H1822"/>
  <c r="E1822"/>
  <c r="J1821"/>
  <c r="K1821" s="1"/>
  <c r="I1821"/>
  <c r="H1821"/>
  <c r="E1821"/>
  <c r="K1820"/>
  <c r="J1820"/>
  <c r="I1820"/>
  <c r="H1820"/>
  <c r="E1820"/>
  <c r="K1819"/>
  <c r="J1819"/>
  <c r="I1819"/>
  <c r="H1819"/>
  <c r="E1819"/>
  <c r="J1818"/>
  <c r="K1818" s="1"/>
  <c r="I1818"/>
  <c r="H1818"/>
  <c r="E1818"/>
  <c r="J1817"/>
  <c r="K1817" s="1"/>
  <c r="I1817"/>
  <c r="H1817"/>
  <c r="E1817"/>
  <c r="K1816"/>
  <c r="J1816"/>
  <c r="I1816"/>
  <c r="H1816"/>
  <c r="E1816"/>
  <c r="K1815"/>
  <c r="J1815"/>
  <c r="I1815"/>
  <c r="H1815"/>
  <c r="E1815"/>
  <c r="J1814"/>
  <c r="K1814" s="1"/>
  <c r="I1814"/>
  <c r="H1814"/>
  <c r="E1814"/>
  <c r="J1813"/>
  <c r="K1813" s="1"/>
  <c r="I1813"/>
  <c r="H1813"/>
  <c r="E1813"/>
  <c r="K1812"/>
  <c r="J1812"/>
  <c r="I1812"/>
  <c r="H1812"/>
  <c r="E1812"/>
  <c r="K1811"/>
  <c r="J1811"/>
  <c r="I1811"/>
  <c r="H1811"/>
  <c r="E1811"/>
  <c r="J1810"/>
  <c r="J1839" s="1"/>
  <c r="I1810"/>
  <c r="I1839" s="1"/>
  <c r="I2029" s="1"/>
  <c r="H1810"/>
  <c r="E1810"/>
  <c r="F1798"/>
  <c r="F1799" s="1"/>
  <c r="C1798"/>
  <c r="C1799" s="1"/>
  <c r="J1797"/>
  <c r="I1797"/>
  <c r="K1797" s="1"/>
  <c r="E1797"/>
  <c r="J1796"/>
  <c r="I1796"/>
  <c r="K1796" s="1"/>
  <c r="E1796"/>
  <c r="J1795"/>
  <c r="I1795"/>
  <c r="K1795" s="1"/>
  <c r="E1795"/>
  <c r="I1794"/>
  <c r="E1794"/>
  <c r="D1794"/>
  <c r="J1794" s="1"/>
  <c r="K1794" s="1"/>
  <c r="J1793"/>
  <c r="K1793" s="1"/>
  <c r="I1793"/>
  <c r="E1793"/>
  <c r="D1793"/>
  <c r="K1792"/>
  <c r="J1792"/>
  <c r="I1792"/>
  <c r="E1792"/>
  <c r="K1791"/>
  <c r="J1791"/>
  <c r="I1791"/>
  <c r="E1791"/>
  <c r="K1790"/>
  <c r="J1790"/>
  <c r="I1790"/>
  <c r="E1790"/>
  <c r="K1789"/>
  <c r="J1789"/>
  <c r="I1789"/>
  <c r="E1789"/>
  <c r="I1788"/>
  <c r="D1788"/>
  <c r="E1788" s="1"/>
  <c r="K1787"/>
  <c r="J1787"/>
  <c r="I1787"/>
  <c r="E1787"/>
  <c r="K1786"/>
  <c r="J1786"/>
  <c r="I1786"/>
  <c r="E1786"/>
  <c r="K1785"/>
  <c r="J1785"/>
  <c r="I1785"/>
  <c r="E1785"/>
  <c r="K1784"/>
  <c r="J1784"/>
  <c r="I1784"/>
  <c r="E1784"/>
  <c r="K1783"/>
  <c r="J1783"/>
  <c r="I1783"/>
  <c r="E1783"/>
  <c r="K1782"/>
  <c r="J1782"/>
  <c r="I1782"/>
  <c r="E1782"/>
  <c r="K1781"/>
  <c r="J1781"/>
  <c r="I1781"/>
  <c r="E1781"/>
  <c r="K1780"/>
  <c r="J1780"/>
  <c r="I1780"/>
  <c r="E1780"/>
  <c r="K1779"/>
  <c r="J1779"/>
  <c r="I1779"/>
  <c r="E1779"/>
  <c r="K1778"/>
  <c r="J1778"/>
  <c r="E1778"/>
  <c r="K1777"/>
  <c r="J1777"/>
  <c r="I1777"/>
  <c r="E1777"/>
  <c r="K1776"/>
  <c r="J1776"/>
  <c r="I1776"/>
  <c r="E1776"/>
  <c r="K1775"/>
  <c r="J1775"/>
  <c r="I1775"/>
  <c r="E1775"/>
  <c r="K1774"/>
  <c r="J1774"/>
  <c r="I1774"/>
  <c r="E1774"/>
  <c r="K1773"/>
  <c r="J1773"/>
  <c r="I1773"/>
  <c r="E1773"/>
  <c r="K1772"/>
  <c r="J1772"/>
  <c r="I1772"/>
  <c r="E1772"/>
  <c r="K1771"/>
  <c r="J1771"/>
  <c r="I1771"/>
  <c r="E1771"/>
  <c r="K1770"/>
  <c r="J1770"/>
  <c r="I1770"/>
  <c r="E1770"/>
  <c r="K1769"/>
  <c r="J1769"/>
  <c r="I1769"/>
  <c r="E1769"/>
  <c r="I1768"/>
  <c r="D1768"/>
  <c r="E1768" s="1"/>
  <c r="K1767"/>
  <c r="J1767"/>
  <c r="I1767"/>
  <c r="E1767"/>
  <c r="K1766"/>
  <c r="J1766"/>
  <c r="I1766"/>
  <c r="E1766"/>
  <c r="K1765"/>
  <c r="J1765"/>
  <c r="I1765"/>
  <c r="E1765"/>
  <c r="K1764"/>
  <c r="J1764"/>
  <c r="I1764"/>
  <c r="E1764"/>
  <c r="I1763"/>
  <c r="E1763"/>
  <c r="D1763"/>
  <c r="J1763" s="1"/>
  <c r="K1763" s="1"/>
  <c r="J1762"/>
  <c r="K1762" s="1"/>
  <c r="I1762"/>
  <c r="E1762"/>
  <c r="I1761"/>
  <c r="E1761"/>
  <c r="D1761"/>
  <c r="J1761" s="1"/>
  <c r="K1761" s="1"/>
  <c r="J1760"/>
  <c r="K1760" s="1"/>
  <c r="I1760"/>
  <c r="E1760"/>
  <c r="J1759"/>
  <c r="K1759" s="1"/>
  <c r="I1759"/>
  <c r="E1759"/>
  <c r="J1758"/>
  <c r="K1758" s="1"/>
  <c r="I1758"/>
  <c r="E1758"/>
  <c r="J1757"/>
  <c r="K1757" s="1"/>
  <c r="I1757"/>
  <c r="E1757"/>
  <c r="J1756"/>
  <c r="K1756" s="1"/>
  <c r="I1756"/>
  <c r="E1756"/>
  <c r="J1755"/>
  <c r="K1755" s="1"/>
  <c r="I1755"/>
  <c r="E1755"/>
  <c r="J1754"/>
  <c r="K1754" s="1"/>
  <c r="I1754"/>
  <c r="E1754"/>
  <c r="J1753"/>
  <c r="K1753" s="1"/>
  <c r="I1753"/>
  <c r="E1753"/>
  <c r="J1752"/>
  <c r="K1752" s="1"/>
  <c r="I1752"/>
  <c r="E1752"/>
  <c r="J1751"/>
  <c r="K1751" s="1"/>
  <c r="I1751"/>
  <c r="E1751"/>
  <c r="J1750"/>
  <c r="K1750" s="1"/>
  <c r="I1750"/>
  <c r="E1750"/>
  <c r="J1749"/>
  <c r="K1749" s="1"/>
  <c r="I1749"/>
  <c r="E1749"/>
  <c r="J1748"/>
  <c r="K1748" s="1"/>
  <c r="E1748"/>
  <c r="J1747"/>
  <c r="I1747"/>
  <c r="K1747" s="1"/>
  <c r="E1747"/>
  <c r="J1746"/>
  <c r="I1746"/>
  <c r="K1746" s="1"/>
  <c r="E1746"/>
  <c r="J1745"/>
  <c r="I1745"/>
  <c r="K1745" s="1"/>
  <c r="E1745"/>
  <c r="J1744"/>
  <c r="I1744"/>
  <c r="K1744" s="1"/>
  <c r="E1744"/>
  <c r="J1743"/>
  <c r="I1743"/>
  <c r="K1743" s="1"/>
  <c r="E1743"/>
  <c r="J1742"/>
  <c r="I1742"/>
  <c r="K1742" s="1"/>
  <c r="E1742"/>
  <c r="I1741"/>
  <c r="E1741"/>
  <c r="D1741"/>
  <c r="J1741" s="1"/>
  <c r="K1741" s="1"/>
  <c r="J1740"/>
  <c r="K1740" s="1"/>
  <c r="I1740"/>
  <c r="E1740"/>
  <c r="J1739"/>
  <c r="K1739" s="1"/>
  <c r="I1739"/>
  <c r="I1798" s="1"/>
  <c r="I1799" s="1"/>
  <c r="E1739"/>
  <c r="D1739"/>
  <c r="K1738"/>
  <c r="J1738"/>
  <c r="I1738"/>
  <c r="E1738"/>
  <c r="K1737"/>
  <c r="J1737"/>
  <c r="I1737"/>
  <c r="E1737"/>
  <c r="K1736"/>
  <c r="J1736"/>
  <c r="I1736"/>
  <c r="E1736"/>
  <c r="K1735"/>
  <c r="J1735"/>
  <c r="I1735"/>
  <c r="E1735"/>
  <c r="K1734"/>
  <c r="J1734"/>
  <c r="I1734"/>
  <c r="E1734"/>
  <c r="K1733"/>
  <c r="J1733"/>
  <c r="I1733"/>
  <c r="E1733"/>
  <c r="K1732"/>
  <c r="J1732"/>
  <c r="I1732"/>
  <c r="E1732"/>
  <c r="K1731"/>
  <c r="J1731"/>
  <c r="I1731"/>
  <c r="E1731"/>
  <c r="I1730"/>
  <c r="D1730"/>
  <c r="E1730" s="1"/>
  <c r="K1729"/>
  <c r="J1729"/>
  <c r="I1729"/>
  <c r="E1729"/>
  <c r="G1719"/>
  <c r="H1719" s="1"/>
  <c r="F1719"/>
  <c r="C1719"/>
  <c r="H1718"/>
  <c r="G1718"/>
  <c r="F1718"/>
  <c r="D1718"/>
  <c r="D1719" s="1"/>
  <c r="E1719" s="1"/>
  <c r="C1718"/>
  <c r="J1717"/>
  <c r="I1717"/>
  <c r="K1717" s="1"/>
  <c r="H1717"/>
  <c r="E1717"/>
  <c r="J1716"/>
  <c r="K1716" s="1"/>
  <c r="I1716"/>
  <c r="H1716"/>
  <c r="E1716"/>
  <c r="K1715"/>
  <c r="J1715"/>
  <c r="I1715"/>
  <c r="H1715"/>
  <c r="E1715"/>
  <c r="K1714"/>
  <c r="J1714"/>
  <c r="I1714"/>
  <c r="H1714"/>
  <c r="E1714"/>
  <c r="J1713"/>
  <c r="I1713"/>
  <c r="K1713" s="1"/>
  <c r="H1713"/>
  <c r="E1713"/>
  <c r="J1712"/>
  <c r="K1712" s="1"/>
  <c r="H1712"/>
  <c r="E1712"/>
  <c r="J1711"/>
  <c r="K1711" s="1"/>
  <c r="I1711"/>
  <c r="H1711"/>
  <c r="E1711"/>
  <c r="K1710"/>
  <c r="J1710"/>
  <c r="I1710"/>
  <c r="H1710"/>
  <c r="E1710"/>
  <c r="K1709"/>
  <c r="J1709"/>
  <c r="I1709"/>
  <c r="H1709"/>
  <c r="E1709"/>
  <c r="J1708"/>
  <c r="I1708"/>
  <c r="K1708" s="1"/>
  <c r="H1708"/>
  <c r="E1708"/>
  <c r="J1707"/>
  <c r="K1707" s="1"/>
  <c r="I1707"/>
  <c r="H1707"/>
  <c r="E1707"/>
  <c r="K1706"/>
  <c r="J1706"/>
  <c r="I1706"/>
  <c r="H1706"/>
  <c r="E1706"/>
  <c r="K1705"/>
  <c r="J1705"/>
  <c r="I1705"/>
  <c r="H1705"/>
  <c r="E1705"/>
  <c r="J1704"/>
  <c r="I1704"/>
  <c r="K1704" s="1"/>
  <c r="H1704"/>
  <c r="E1704"/>
  <c r="J1703"/>
  <c r="K1703" s="1"/>
  <c r="I1703"/>
  <c r="H1703"/>
  <c r="E1703"/>
  <c r="K1702"/>
  <c r="J1702"/>
  <c r="I1702"/>
  <c r="H1702"/>
  <c r="E1702"/>
  <c r="K1701"/>
  <c r="J1701"/>
  <c r="I1701"/>
  <c r="H1701"/>
  <c r="E1701"/>
  <c r="J1700"/>
  <c r="I1700"/>
  <c r="K1700" s="1"/>
  <c r="H1700"/>
  <c r="E1700"/>
  <c r="J1699"/>
  <c r="K1699" s="1"/>
  <c r="I1699"/>
  <c r="H1699"/>
  <c r="E1699"/>
  <c r="K1698"/>
  <c r="J1698"/>
  <c r="I1698"/>
  <c r="H1698"/>
  <c r="E1698"/>
  <c r="K1697"/>
  <c r="J1697"/>
  <c r="I1697"/>
  <c r="H1697"/>
  <c r="E1697"/>
  <c r="J1696"/>
  <c r="I1696"/>
  <c r="K1696" s="1"/>
  <c r="H1696"/>
  <c r="E1696"/>
  <c r="J1695"/>
  <c r="K1695" s="1"/>
  <c r="I1695"/>
  <c r="H1695"/>
  <c r="E1695"/>
  <c r="K1694"/>
  <c r="J1694"/>
  <c r="I1694"/>
  <c r="H1694"/>
  <c r="E1694"/>
  <c r="K1693"/>
  <c r="J1693"/>
  <c r="I1693"/>
  <c r="H1693"/>
  <c r="E1693"/>
  <c r="J1692"/>
  <c r="I1692"/>
  <c r="K1692" s="1"/>
  <c r="H1692"/>
  <c r="E1692"/>
  <c r="J1691"/>
  <c r="K1691" s="1"/>
  <c r="I1691"/>
  <c r="H1691"/>
  <c r="E1691"/>
  <c r="K1690"/>
  <c r="J1690"/>
  <c r="I1690"/>
  <c r="H1690"/>
  <c r="E1690"/>
  <c r="K1689"/>
  <c r="J1689"/>
  <c r="I1689"/>
  <c r="H1689"/>
  <c r="E1689"/>
  <c r="J1688"/>
  <c r="I1688"/>
  <c r="K1688" s="1"/>
  <c r="H1688"/>
  <c r="E1688"/>
  <c r="J1687"/>
  <c r="K1687" s="1"/>
  <c r="H1687"/>
  <c r="E1687"/>
  <c r="J1686"/>
  <c r="K1686" s="1"/>
  <c r="I1686"/>
  <c r="H1686"/>
  <c r="E1686"/>
  <c r="K1685"/>
  <c r="J1685"/>
  <c r="I1685"/>
  <c r="H1685"/>
  <c r="E1685"/>
  <c r="K1684"/>
  <c r="J1684"/>
  <c r="I1684"/>
  <c r="H1684"/>
  <c r="E1684"/>
  <c r="J1683"/>
  <c r="I1683"/>
  <c r="K1683" s="1"/>
  <c r="H1683"/>
  <c r="E1683"/>
  <c r="J1682"/>
  <c r="K1682" s="1"/>
  <c r="I1682"/>
  <c r="H1682"/>
  <c r="E1682"/>
  <c r="K1681"/>
  <c r="J1681"/>
  <c r="I1681"/>
  <c r="H1681"/>
  <c r="E1681"/>
  <c r="K1680"/>
  <c r="J1680"/>
  <c r="I1680"/>
  <c r="H1680"/>
  <c r="E1680"/>
  <c r="J1679"/>
  <c r="I1679"/>
  <c r="K1679" s="1"/>
  <c r="H1679"/>
  <c r="E1679"/>
  <c r="J1678"/>
  <c r="K1678" s="1"/>
  <c r="I1678"/>
  <c r="H1678"/>
  <c r="E1678"/>
  <c r="K1677"/>
  <c r="J1677"/>
  <c r="I1677"/>
  <c r="H1677"/>
  <c r="E1677"/>
  <c r="K1676"/>
  <c r="J1676"/>
  <c r="I1676"/>
  <c r="H1676"/>
  <c r="E1676"/>
  <c r="J1675"/>
  <c r="I1675"/>
  <c r="K1675" s="1"/>
  <c r="H1675"/>
  <c r="E1675"/>
  <c r="J1674"/>
  <c r="K1674" s="1"/>
  <c r="I1674"/>
  <c r="H1674"/>
  <c r="E1674"/>
  <c r="K1673"/>
  <c r="J1673"/>
  <c r="I1673"/>
  <c r="H1673"/>
  <c r="E1673"/>
  <c r="K1672"/>
  <c r="J1672"/>
  <c r="I1672"/>
  <c r="H1672"/>
  <c r="E1672"/>
  <c r="J1671"/>
  <c r="I1671"/>
  <c r="K1671" s="1"/>
  <c r="H1671"/>
  <c r="E1671"/>
  <c r="J1670"/>
  <c r="K1670" s="1"/>
  <c r="I1670"/>
  <c r="H1670"/>
  <c r="E1670"/>
  <c r="K1669"/>
  <c r="J1669"/>
  <c r="I1669"/>
  <c r="H1669"/>
  <c r="E1669"/>
  <c r="K1668"/>
  <c r="J1668"/>
  <c r="I1668"/>
  <c r="H1668"/>
  <c r="E1668"/>
  <c r="J1667"/>
  <c r="I1667"/>
  <c r="K1667" s="1"/>
  <c r="H1667"/>
  <c r="E1667"/>
  <c r="J1666"/>
  <c r="K1666" s="1"/>
  <c r="I1666"/>
  <c r="H1666"/>
  <c r="E1666"/>
  <c r="K1665"/>
  <c r="J1665"/>
  <c r="I1665"/>
  <c r="H1665"/>
  <c r="E1665"/>
  <c r="K1664"/>
  <c r="J1664"/>
  <c r="I1664"/>
  <c r="H1664"/>
  <c r="E1664"/>
  <c r="J1663"/>
  <c r="I1663"/>
  <c r="K1663" s="1"/>
  <c r="H1663"/>
  <c r="E1663"/>
  <c r="J1662"/>
  <c r="K1662" s="1"/>
  <c r="I1662"/>
  <c r="H1662"/>
  <c r="E1662"/>
  <c r="K1661"/>
  <c r="J1661"/>
  <c r="I1661"/>
  <c r="H1661"/>
  <c r="E1661"/>
  <c r="K1660"/>
  <c r="J1660"/>
  <c r="I1660"/>
  <c r="H1660"/>
  <c r="E1660"/>
  <c r="J1659"/>
  <c r="I1659"/>
  <c r="K1659" s="1"/>
  <c r="H1659"/>
  <c r="E1659"/>
  <c r="J1658"/>
  <c r="K1658" s="1"/>
  <c r="I1658"/>
  <c r="H1658"/>
  <c r="E1658"/>
  <c r="K1657"/>
  <c r="J1657"/>
  <c r="I1657"/>
  <c r="H1657"/>
  <c r="E1657"/>
  <c r="K1656"/>
  <c r="J1656"/>
  <c r="I1656"/>
  <c r="H1656"/>
  <c r="E1656"/>
  <c r="J1655"/>
  <c r="I1655"/>
  <c r="K1655" s="1"/>
  <c r="H1655"/>
  <c r="E1655"/>
  <c r="J1654"/>
  <c r="K1654" s="1"/>
  <c r="I1654"/>
  <c r="H1654"/>
  <c r="E1654"/>
  <c r="K1653"/>
  <c r="J1653"/>
  <c r="I1653"/>
  <c r="H1653"/>
  <c r="E1653"/>
  <c r="K1652"/>
  <c r="J1652"/>
  <c r="J1718" s="1"/>
  <c r="I1652"/>
  <c r="I1718" s="1"/>
  <c r="I1719" s="1"/>
  <c r="H1652"/>
  <c r="E1652"/>
  <c r="G1642"/>
  <c r="C1642"/>
  <c r="C1641" s="1"/>
  <c r="C1643" s="1"/>
  <c r="F1639"/>
  <c r="G1638"/>
  <c r="H1638" s="1"/>
  <c r="F1638"/>
  <c r="D1638"/>
  <c r="E1638" s="1"/>
  <c r="C1638"/>
  <c r="K1637"/>
  <c r="J1637"/>
  <c r="I1637"/>
  <c r="H1637"/>
  <c r="K1636"/>
  <c r="J1636"/>
  <c r="I1636"/>
  <c r="H1636"/>
  <c r="K1635"/>
  <c r="J1635"/>
  <c r="I1635"/>
  <c r="H1635"/>
  <c r="K1634"/>
  <c r="J1634"/>
  <c r="I1634"/>
  <c r="H1634"/>
  <c r="K1633"/>
  <c r="J1633"/>
  <c r="I1633"/>
  <c r="H1633"/>
  <c r="K1632"/>
  <c r="J1632"/>
  <c r="I1632"/>
  <c r="H1632"/>
  <c r="K1631"/>
  <c r="J1631"/>
  <c r="I1631"/>
  <c r="H1631"/>
  <c r="K1630"/>
  <c r="J1630"/>
  <c r="I1630"/>
  <c r="H1630"/>
  <c r="K1629"/>
  <c r="J1629"/>
  <c r="I1629"/>
  <c r="H1629"/>
  <c r="K1628"/>
  <c r="J1628"/>
  <c r="I1628"/>
  <c r="H1628"/>
  <c r="K1627"/>
  <c r="J1627"/>
  <c r="I1627"/>
  <c r="H1627"/>
  <c r="K1626"/>
  <c r="J1626"/>
  <c r="I1626"/>
  <c r="H1626"/>
  <c r="K1625"/>
  <c r="J1625"/>
  <c r="I1625"/>
  <c r="H1625"/>
  <c r="K1624"/>
  <c r="J1624"/>
  <c r="I1624"/>
  <c r="H1624"/>
  <c r="K1623"/>
  <c r="J1623"/>
  <c r="I1623"/>
  <c r="H1623"/>
  <c r="K1622"/>
  <c r="J1622"/>
  <c r="I1622"/>
  <c r="H1622"/>
  <c r="K1621"/>
  <c r="J1621"/>
  <c r="I1621"/>
  <c r="H1621"/>
  <c r="K1620"/>
  <c r="J1620"/>
  <c r="I1620"/>
  <c r="H1620"/>
  <c r="K1619"/>
  <c r="J1619"/>
  <c r="I1619"/>
  <c r="H1619"/>
  <c r="K1618"/>
  <c r="J1618"/>
  <c r="I1618"/>
  <c r="H1618"/>
  <c r="K1617"/>
  <c r="J1617"/>
  <c r="I1617"/>
  <c r="H1617"/>
  <c r="K1616"/>
  <c r="J1616"/>
  <c r="I1616"/>
  <c r="H1616"/>
  <c r="K1615"/>
  <c r="J1615"/>
  <c r="H1615"/>
  <c r="K1614"/>
  <c r="J1614"/>
  <c r="I1614"/>
  <c r="H1614"/>
  <c r="K1613"/>
  <c r="J1613"/>
  <c r="I1613"/>
  <c r="H1613"/>
  <c r="K1612"/>
  <c r="J1612"/>
  <c r="I1612"/>
  <c r="H1612"/>
  <c r="K1611"/>
  <c r="J1611"/>
  <c r="H1611"/>
  <c r="J1610"/>
  <c r="K1610" s="1"/>
  <c r="H1610"/>
  <c r="J1609"/>
  <c r="I1609"/>
  <c r="I1638" s="1"/>
  <c r="H1609"/>
  <c r="F1607"/>
  <c r="D1607"/>
  <c r="D1639" s="1"/>
  <c r="C1607"/>
  <c r="C1639" s="1"/>
  <c r="J1606"/>
  <c r="K1606" s="1"/>
  <c r="I1606"/>
  <c r="H1606"/>
  <c r="J1605"/>
  <c r="K1605" s="1"/>
  <c r="I1605"/>
  <c r="H1605"/>
  <c r="J1604"/>
  <c r="K1604" s="1"/>
  <c r="I1604"/>
  <c r="H1604"/>
  <c r="J1603"/>
  <c r="K1603" s="1"/>
  <c r="I1603"/>
  <c r="H1603"/>
  <c r="J1602"/>
  <c r="K1602" s="1"/>
  <c r="I1602"/>
  <c r="H1602"/>
  <c r="J1601"/>
  <c r="K1601" s="1"/>
  <c r="I1601"/>
  <c r="H1601"/>
  <c r="J1600"/>
  <c r="K1600" s="1"/>
  <c r="I1600"/>
  <c r="I1607" s="1"/>
  <c r="I1639" s="1"/>
  <c r="H1600"/>
  <c r="G1600"/>
  <c r="J1599"/>
  <c r="K1599" s="1"/>
  <c r="I1599"/>
  <c r="H1599"/>
  <c r="J1598"/>
  <c r="K1598" s="1"/>
  <c r="I1598"/>
  <c r="H1598"/>
  <c r="J1597"/>
  <c r="K1597" s="1"/>
  <c r="I1597"/>
  <c r="H1597"/>
  <c r="J1596"/>
  <c r="K1596" s="1"/>
  <c r="I1596"/>
  <c r="H1596"/>
  <c r="J1595"/>
  <c r="K1595" s="1"/>
  <c r="I1595"/>
  <c r="H1595"/>
  <c r="J1594"/>
  <c r="K1594" s="1"/>
  <c r="I1594"/>
  <c r="H1594"/>
  <c r="J1593"/>
  <c r="K1593" s="1"/>
  <c r="I1593"/>
  <c r="H1593"/>
  <c r="J1592"/>
  <c r="K1592" s="1"/>
  <c r="I1592"/>
  <c r="H1592"/>
  <c r="J1591"/>
  <c r="K1591" s="1"/>
  <c r="I1591"/>
  <c r="H1591"/>
  <c r="J1590"/>
  <c r="K1590" s="1"/>
  <c r="I1590"/>
  <c r="H1590"/>
  <c r="J1589"/>
  <c r="K1589" s="1"/>
  <c r="I1589"/>
  <c r="H1589"/>
  <c r="J1588"/>
  <c r="K1588" s="1"/>
  <c r="I1588"/>
  <c r="H1588"/>
  <c r="J1587"/>
  <c r="K1587" s="1"/>
  <c r="I1587"/>
  <c r="H1587"/>
  <c r="J1586"/>
  <c r="K1586" s="1"/>
  <c r="I1586"/>
  <c r="H1586"/>
  <c r="J1585"/>
  <c r="K1585" s="1"/>
  <c r="I1585"/>
  <c r="H1585"/>
  <c r="J1584"/>
  <c r="K1584" s="1"/>
  <c r="I1584"/>
  <c r="H1584"/>
  <c r="J1583"/>
  <c r="K1583" s="1"/>
  <c r="I1583"/>
  <c r="H1583"/>
  <c r="J1582"/>
  <c r="K1582" s="1"/>
  <c r="I1582"/>
  <c r="H1582"/>
  <c r="J1581"/>
  <c r="K1581" s="1"/>
  <c r="I1581"/>
  <c r="H1581"/>
  <c r="J1580"/>
  <c r="K1580" s="1"/>
  <c r="I1580"/>
  <c r="H1580"/>
  <c r="J1579"/>
  <c r="K1579" s="1"/>
  <c r="I1579"/>
  <c r="H1579"/>
  <c r="J1578"/>
  <c r="K1578" s="1"/>
  <c r="I1578"/>
  <c r="H1578"/>
  <c r="J1577"/>
  <c r="K1577" s="1"/>
  <c r="I1577"/>
  <c r="H1577"/>
  <c r="J1576"/>
  <c r="K1576" s="1"/>
  <c r="I1576"/>
  <c r="H1576"/>
  <c r="G1576"/>
  <c r="G1607" s="1"/>
  <c r="K1575"/>
  <c r="J1575"/>
  <c r="I1575"/>
  <c r="H1575"/>
  <c r="K1574"/>
  <c r="J1574"/>
  <c r="I1574"/>
  <c r="H1574"/>
  <c r="K1573"/>
  <c r="J1573"/>
  <c r="I1573"/>
  <c r="H1573"/>
  <c r="K1572"/>
  <c r="J1572"/>
  <c r="I1572"/>
  <c r="H1572"/>
  <c r="K1571"/>
  <c r="J1571"/>
  <c r="I1571"/>
  <c r="H1571"/>
  <c r="K1570"/>
  <c r="J1570"/>
  <c r="I1570"/>
  <c r="H1570"/>
  <c r="K1569"/>
  <c r="J1569"/>
  <c r="I1569"/>
  <c r="H1569"/>
  <c r="K1568"/>
  <c r="J1568"/>
  <c r="I1568"/>
  <c r="H1568"/>
  <c r="K1567"/>
  <c r="J1567"/>
  <c r="I1567"/>
  <c r="H1567"/>
  <c r="K1566"/>
  <c r="J1566"/>
  <c r="I1566"/>
  <c r="H1566"/>
  <c r="K1565"/>
  <c r="J1565"/>
  <c r="I1565"/>
  <c r="H1565"/>
  <c r="K1564"/>
  <c r="J1564"/>
  <c r="I1564"/>
  <c r="H1564"/>
  <c r="K1563"/>
  <c r="J1563"/>
  <c r="I1563"/>
  <c r="H1563"/>
  <c r="K1562"/>
  <c r="J1562"/>
  <c r="I1562"/>
  <c r="H1562"/>
  <c r="K1561"/>
  <c r="J1561"/>
  <c r="I1561"/>
  <c r="H1561"/>
  <c r="K1560"/>
  <c r="J1560"/>
  <c r="I1560"/>
  <c r="H1560"/>
  <c r="K1559"/>
  <c r="J1559"/>
  <c r="I1559"/>
  <c r="H1559"/>
  <c r="K1558"/>
  <c r="J1558"/>
  <c r="I1558"/>
  <c r="H1558"/>
  <c r="K1557"/>
  <c r="J1557"/>
  <c r="I1557"/>
  <c r="H1557"/>
  <c r="K1556"/>
  <c r="J1556"/>
  <c r="I1556"/>
  <c r="H1556"/>
  <c r="K1555"/>
  <c r="J1555"/>
  <c r="I1555"/>
  <c r="H1555"/>
  <c r="K1554"/>
  <c r="J1554"/>
  <c r="I1554"/>
  <c r="H1554"/>
  <c r="K1553"/>
  <c r="J1553"/>
  <c r="I1553"/>
  <c r="H1553"/>
  <c r="K1552"/>
  <c r="J1552"/>
  <c r="I1552"/>
  <c r="H1552"/>
  <c r="K1551"/>
  <c r="J1551"/>
  <c r="I1551"/>
  <c r="H1551"/>
  <c r="K1550"/>
  <c r="J1550"/>
  <c r="I1550"/>
  <c r="H1550"/>
  <c r="K1549"/>
  <c r="J1549"/>
  <c r="I1549"/>
  <c r="H1549"/>
  <c r="K1548"/>
  <c r="J1548"/>
  <c r="I1548"/>
  <c r="H1548"/>
  <c r="K1547"/>
  <c r="J1547"/>
  <c r="I1547"/>
  <c r="H1547"/>
  <c r="K1546"/>
  <c r="J1546"/>
  <c r="I1546"/>
  <c r="H1546"/>
  <c r="K1545"/>
  <c r="J1545"/>
  <c r="I1545"/>
  <c r="H1545"/>
  <c r="K1544"/>
  <c r="J1544"/>
  <c r="I1544"/>
  <c r="H1544"/>
  <c r="K1543"/>
  <c r="J1543"/>
  <c r="I1543"/>
  <c r="H1543"/>
  <c r="K1542"/>
  <c r="J1542"/>
  <c r="I1542"/>
  <c r="H1542"/>
  <c r="K1541"/>
  <c r="J1541"/>
  <c r="I1541"/>
  <c r="H1541"/>
  <c r="K1540"/>
  <c r="J1540"/>
  <c r="I1540"/>
  <c r="H1540"/>
  <c r="K1539"/>
  <c r="J1539"/>
  <c r="I1539"/>
  <c r="H1539"/>
  <c r="K1538"/>
  <c r="J1538"/>
  <c r="I1538"/>
  <c r="H1538"/>
  <c r="K1537"/>
  <c r="J1537"/>
  <c r="I1537"/>
  <c r="H1537"/>
  <c r="K1536"/>
  <c r="J1536"/>
  <c r="I1536"/>
  <c r="H1536"/>
  <c r="K1535"/>
  <c r="J1535"/>
  <c r="I1535"/>
  <c r="H1535"/>
  <c r="K1534"/>
  <c r="J1534"/>
  <c r="I1534"/>
  <c r="H1534"/>
  <c r="K1533"/>
  <c r="J1533"/>
  <c r="I1533"/>
  <c r="H1533"/>
  <c r="K1532"/>
  <c r="J1532"/>
  <c r="I1532"/>
  <c r="H1532"/>
  <c r="K1531"/>
  <c r="J1531"/>
  <c r="I1531"/>
  <c r="H1531"/>
  <c r="K1530"/>
  <c r="J1530"/>
  <c r="I1530"/>
  <c r="H1530"/>
  <c r="K1529"/>
  <c r="J1529"/>
  <c r="I1529"/>
  <c r="H1529"/>
  <c r="K1528"/>
  <c r="J1528"/>
  <c r="I1528"/>
  <c r="H1528"/>
  <c r="K1527"/>
  <c r="J1527"/>
  <c r="I1527"/>
  <c r="H1527"/>
  <c r="K1526"/>
  <c r="J1526"/>
  <c r="I1526"/>
  <c r="H1526"/>
  <c r="K1525"/>
  <c r="J1525"/>
  <c r="I1525"/>
  <c r="H1525"/>
  <c r="K1524"/>
  <c r="J1524"/>
  <c r="I1524"/>
  <c r="H1524"/>
  <c r="K1523"/>
  <c r="J1523"/>
  <c r="I1523"/>
  <c r="H1523"/>
  <c r="K1522"/>
  <c r="J1522"/>
  <c r="I1522"/>
  <c r="H1522"/>
  <c r="K1521"/>
  <c r="J1521"/>
  <c r="J1607" s="1"/>
  <c r="I1521"/>
  <c r="H1521"/>
  <c r="G1517"/>
  <c r="H1517" s="1"/>
  <c r="F1517"/>
  <c r="C1517"/>
  <c r="K1516"/>
  <c r="J1516"/>
  <c r="I1516"/>
  <c r="H1516"/>
  <c r="E1516"/>
  <c r="J1515"/>
  <c r="K1515" s="1"/>
  <c r="I1515"/>
  <c r="H1515"/>
  <c r="E1515"/>
  <c r="J1514"/>
  <c r="K1514" s="1"/>
  <c r="I1514"/>
  <c r="H1514"/>
  <c r="E1514"/>
  <c r="K1513"/>
  <c r="J1513"/>
  <c r="I1513"/>
  <c r="H1513"/>
  <c r="E1513"/>
  <c r="K1512"/>
  <c r="J1512"/>
  <c r="I1512"/>
  <c r="H1512"/>
  <c r="E1512"/>
  <c r="J1511"/>
  <c r="K1511" s="1"/>
  <c r="I1511"/>
  <c r="H1511"/>
  <c r="E1511"/>
  <c r="J1510"/>
  <c r="K1510" s="1"/>
  <c r="I1510"/>
  <c r="H1510"/>
  <c r="E1510"/>
  <c r="K1509"/>
  <c r="J1509"/>
  <c r="I1509"/>
  <c r="H1509"/>
  <c r="E1509"/>
  <c r="K1508"/>
  <c r="J1508"/>
  <c r="I1508"/>
  <c r="H1508"/>
  <c r="E1508"/>
  <c r="J1507"/>
  <c r="K1507" s="1"/>
  <c r="I1507"/>
  <c r="H1507"/>
  <c r="E1507"/>
  <c r="J1506"/>
  <c r="K1506" s="1"/>
  <c r="I1506"/>
  <c r="H1506"/>
  <c r="E1506"/>
  <c r="K1505"/>
  <c r="J1505"/>
  <c r="I1505"/>
  <c r="H1505"/>
  <c r="E1505"/>
  <c r="K1504"/>
  <c r="J1504"/>
  <c r="I1504"/>
  <c r="H1504"/>
  <c r="E1504"/>
  <c r="J1503"/>
  <c r="K1503" s="1"/>
  <c r="I1503"/>
  <c r="H1503"/>
  <c r="E1503"/>
  <c r="J1502"/>
  <c r="K1502" s="1"/>
  <c r="I1502"/>
  <c r="H1502"/>
  <c r="E1502"/>
  <c r="K1501"/>
  <c r="J1501"/>
  <c r="I1501"/>
  <c r="H1501"/>
  <c r="E1501"/>
  <c r="K1500"/>
  <c r="J1500"/>
  <c r="I1500"/>
  <c r="H1500"/>
  <c r="E1500"/>
  <c r="J1499"/>
  <c r="I1499"/>
  <c r="K1499" s="1"/>
  <c r="H1499"/>
  <c r="E1499"/>
  <c r="J1498"/>
  <c r="K1498" s="1"/>
  <c r="I1498"/>
  <c r="H1498"/>
  <c r="E1498"/>
  <c r="K1497"/>
  <c r="J1497"/>
  <c r="I1497"/>
  <c r="H1497"/>
  <c r="E1497"/>
  <c r="K1496"/>
  <c r="J1496"/>
  <c r="I1496"/>
  <c r="H1496"/>
  <c r="E1496"/>
  <c r="J1495"/>
  <c r="I1495"/>
  <c r="K1495" s="1"/>
  <c r="H1495"/>
  <c r="E1495"/>
  <c r="J1494"/>
  <c r="K1494" s="1"/>
  <c r="I1494"/>
  <c r="H1494"/>
  <c r="E1494"/>
  <c r="K1493"/>
  <c r="J1493"/>
  <c r="I1493"/>
  <c r="H1493"/>
  <c r="E1493"/>
  <c r="K1492"/>
  <c r="J1492"/>
  <c r="I1492"/>
  <c r="H1492"/>
  <c r="E1492"/>
  <c r="J1491"/>
  <c r="I1491"/>
  <c r="K1491" s="1"/>
  <c r="H1491"/>
  <c r="E1491"/>
  <c r="J1490"/>
  <c r="K1490" s="1"/>
  <c r="I1490"/>
  <c r="H1490"/>
  <c r="E1490"/>
  <c r="K1489"/>
  <c r="J1489"/>
  <c r="I1489"/>
  <c r="H1489"/>
  <c r="E1489"/>
  <c r="K1488"/>
  <c r="J1488"/>
  <c r="I1488"/>
  <c r="H1488"/>
  <c r="E1488"/>
  <c r="J1487"/>
  <c r="I1487"/>
  <c r="K1487" s="1"/>
  <c r="H1487"/>
  <c r="E1487"/>
  <c r="J1486"/>
  <c r="K1486" s="1"/>
  <c r="I1486"/>
  <c r="H1486"/>
  <c r="E1486"/>
  <c r="K1485"/>
  <c r="J1485"/>
  <c r="I1485"/>
  <c r="H1485"/>
  <c r="E1485"/>
  <c r="K1484"/>
  <c r="J1484"/>
  <c r="I1484"/>
  <c r="H1484"/>
  <c r="E1484"/>
  <c r="J1483"/>
  <c r="I1483"/>
  <c r="K1483" s="1"/>
  <c r="H1483"/>
  <c r="E1483"/>
  <c r="J1482"/>
  <c r="K1482" s="1"/>
  <c r="I1482"/>
  <c r="H1482"/>
  <c r="E1482"/>
  <c r="K1481"/>
  <c r="J1481"/>
  <c r="I1481"/>
  <c r="H1481"/>
  <c r="E1481"/>
  <c r="K1480"/>
  <c r="J1480"/>
  <c r="I1480"/>
  <c r="H1480"/>
  <c r="E1480"/>
  <c r="I1479"/>
  <c r="H1479"/>
  <c r="E1479"/>
  <c r="D1479"/>
  <c r="D1517" s="1"/>
  <c r="E1517" s="1"/>
  <c r="K1478"/>
  <c r="J1478"/>
  <c r="I1478"/>
  <c r="H1478"/>
  <c r="E1478"/>
  <c r="K1477"/>
  <c r="J1477"/>
  <c r="I1477"/>
  <c r="H1477"/>
  <c r="E1477"/>
  <c r="J1476"/>
  <c r="I1476"/>
  <c r="K1476" s="1"/>
  <c r="H1476"/>
  <c r="E1476"/>
  <c r="J1475"/>
  <c r="K1475" s="1"/>
  <c r="I1475"/>
  <c r="H1475"/>
  <c r="E1475"/>
  <c r="K1474"/>
  <c r="J1474"/>
  <c r="I1474"/>
  <c r="H1474"/>
  <c r="E1474"/>
  <c r="K1473"/>
  <c r="J1473"/>
  <c r="I1473"/>
  <c r="H1473"/>
  <c r="E1473"/>
  <c r="J1472"/>
  <c r="I1472"/>
  <c r="K1472" s="1"/>
  <c r="H1472"/>
  <c r="E1472"/>
  <c r="J1471"/>
  <c r="K1471" s="1"/>
  <c r="H1471"/>
  <c r="E1471"/>
  <c r="J1470"/>
  <c r="K1470" s="1"/>
  <c r="H1470"/>
  <c r="E1470"/>
  <c r="J1469"/>
  <c r="K1469" s="1"/>
  <c r="H1469"/>
  <c r="E1469"/>
  <c r="J1468"/>
  <c r="K1468" s="1"/>
  <c r="I1468"/>
  <c r="I1517" s="1"/>
  <c r="H1468"/>
  <c r="E1468"/>
  <c r="F1465"/>
  <c r="C1465"/>
  <c r="I1465" s="1"/>
  <c r="K1464"/>
  <c r="J1464"/>
  <c r="I1464"/>
  <c r="H1464"/>
  <c r="E1464"/>
  <c r="J1463"/>
  <c r="I1463"/>
  <c r="K1463" s="1"/>
  <c r="H1463"/>
  <c r="E1463"/>
  <c r="J1462"/>
  <c r="K1462" s="1"/>
  <c r="I1462"/>
  <c r="H1462"/>
  <c r="E1462"/>
  <c r="K1461"/>
  <c r="J1461"/>
  <c r="I1461"/>
  <c r="H1461"/>
  <c r="E1461"/>
  <c r="I1460"/>
  <c r="H1460"/>
  <c r="G1460"/>
  <c r="J1460" s="1"/>
  <c r="K1460" s="1"/>
  <c r="E1460"/>
  <c r="D1460"/>
  <c r="D1465" s="1"/>
  <c r="I1459"/>
  <c r="G1459"/>
  <c r="H1459" s="1"/>
  <c r="E1459"/>
  <c r="J1458"/>
  <c r="I1458"/>
  <c r="K1458" s="1"/>
  <c r="H1458"/>
  <c r="E1458"/>
  <c r="J1457"/>
  <c r="K1457" s="1"/>
  <c r="I1457"/>
  <c r="H1457"/>
  <c r="G1457"/>
  <c r="E1457"/>
  <c r="K1456"/>
  <c r="J1456"/>
  <c r="I1456"/>
  <c r="H1456"/>
  <c r="E1456"/>
  <c r="I1454"/>
  <c r="H1454"/>
  <c r="G1454"/>
  <c r="F1454"/>
  <c r="E1454"/>
  <c r="D1454"/>
  <c r="C1454"/>
  <c r="J1453"/>
  <c r="K1453" s="1"/>
  <c r="I1453"/>
  <c r="H1453"/>
  <c r="E1453"/>
  <c r="K1452"/>
  <c r="J1452"/>
  <c r="J1454" s="1"/>
  <c r="K1454" s="1"/>
  <c r="I1452"/>
  <c r="H1452"/>
  <c r="E1452"/>
  <c r="H1449"/>
  <c r="G1449"/>
  <c r="F1449"/>
  <c r="D1449"/>
  <c r="E1449" s="1"/>
  <c r="C1449"/>
  <c r="J1448"/>
  <c r="I1448"/>
  <c r="K1448" s="1"/>
  <c r="H1448"/>
  <c r="E1448"/>
  <c r="J1447"/>
  <c r="K1447" s="1"/>
  <c r="I1447"/>
  <c r="H1447"/>
  <c r="E1447"/>
  <c r="K1446"/>
  <c r="J1446"/>
  <c r="J1449" s="1"/>
  <c r="I1446"/>
  <c r="I1449" s="1"/>
  <c r="H1446"/>
  <c r="E1446"/>
  <c r="F1442"/>
  <c r="F1642" s="1"/>
  <c r="E1442"/>
  <c r="D1442"/>
  <c r="D1642" s="1"/>
  <c r="C1442"/>
  <c r="K1441"/>
  <c r="J1441"/>
  <c r="I1441"/>
  <c r="E1441"/>
  <c r="K1440"/>
  <c r="J1440"/>
  <c r="J1442" s="1"/>
  <c r="I1440"/>
  <c r="I1442" s="1"/>
  <c r="I1642" s="1"/>
  <c r="E1440"/>
  <c r="G1428"/>
  <c r="H1428" s="1"/>
  <c r="F1428"/>
  <c r="C1428"/>
  <c r="K1427"/>
  <c r="J1427"/>
  <c r="I1427"/>
  <c r="H1427"/>
  <c r="E1427"/>
  <c r="J1426"/>
  <c r="I1426"/>
  <c r="K1426" s="1"/>
  <c r="H1426"/>
  <c r="E1426"/>
  <c r="J1425"/>
  <c r="K1425" s="1"/>
  <c r="I1425"/>
  <c r="H1425"/>
  <c r="E1425"/>
  <c r="K1424"/>
  <c r="J1424"/>
  <c r="I1424"/>
  <c r="H1424"/>
  <c r="E1424"/>
  <c r="K1423"/>
  <c r="J1423"/>
  <c r="I1423"/>
  <c r="H1423"/>
  <c r="E1423"/>
  <c r="J1422"/>
  <c r="I1422"/>
  <c r="K1422" s="1"/>
  <c r="H1422"/>
  <c r="E1422"/>
  <c r="J1421"/>
  <c r="K1421" s="1"/>
  <c r="I1421"/>
  <c r="H1421"/>
  <c r="E1421"/>
  <c r="K1420"/>
  <c r="J1420"/>
  <c r="I1420"/>
  <c r="H1420"/>
  <c r="E1420"/>
  <c r="K1419"/>
  <c r="J1419"/>
  <c r="I1419"/>
  <c r="H1419"/>
  <c r="E1419"/>
  <c r="J1418"/>
  <c r="I1418"/>
  <c r="K1418" s="1"/>
  <c r="H1418"/>
  <c r="E1418"/>
  <c r="J1417"/>
  <c r="K1417" s="1"/>
  <c r="I1417"/>
  <c r="H1417"/>
  <c r="E1417"/>
  <c r="K1416"/>
  <c r="J1416"/>
  <c r="I1416"/>
  <c r="H1416"/>
  <c r="E1416"/>
  <c r="K1415"/>
  <c r="J1415"/>
  <c r="I1415"/>
  <c r="H1415"/>
  <c r="E1415"/>
  <c r="J1414"/>
  <c r="I1414"/>
  <c r="K1414" s="1"/>
  <c r="H1414"/>
  <c r="E1414"/>
  <c r="J1413"/>
  <c r="K1413" s="1"/>
  <c r="I1413"/>
  <c r="H1413"/>
  <c r="E1413"/>
  <c r="I1412"/>
  <c r="I1428" s="1"/>
  <c r="H1412"/>
  <c r="E1412"/>
  <c r="D1412"/>
  <c r="J1412" s="1"/>
  <c r="H1410"/>
  <c r="G1410"/>
  <c r="F1410"/>
  <c r="E1410"/>
  <c r="D1410"/>
  <c r="C1410"/>
  <c r="J1409"/>
  <c r="K1409" s="1"/>
  <c r="I1409"/>
  <c r="H1409"/>
  <c r="E1409"/>
  <c r="K1408"/>
  <c r="J1408"/>
  <c r="I1408"/>
  <c r="H1408"/>
  <c r="E1408"/>
  <c r="K1407"/>
  <c r="J1407"/>
  <c r="I1407"/>
  <c r="H1407"/>
  <c r="E1407"/>
  <c r="J1406"/>
  <c r="I1406"/>
  <c r="K1406" s="1"/>
  <c r="H1406"/>
  <c r="E1406"/>
  <c r="J1405"/>
  <c r="K1405" s="1"/>
  <c r="I1405"/>
  <c r="H1405"/>
  <c r="E1405"/>
  <c r="G1402"/>
  <c r="F1402"/>
  <c r="F1640" s="1"/>
  <c r="D1402"/>
  <c r="C1402"/>
  <c r="C1640" s="1"/>
  <c r="K1401"/>
  <c r="J1401"/>
  <c r="I1401"/>
  <c r="H1401"/>
  <c r="E1401"/>
  <c r="J1400"/>
  <c r="I1400"/>
  <c r="K1400" s="1"/>
  <c r="H1400"/>
  <c r="E1400"/>
  <c r="J1399"/>
  <c r="K1399" s="1"/>
  <c r="H1399"/>
  <c r="E1399"/>
  <c r="J1398"/>
  <c r="K1398" s="1"/>
  <c r="I1398"/>
  <c r="H1398"/>
  <c r="E1398"/>
  <c r="K1397"/>
  <c r="J1397"/>
  <c r="J1402" s="1"/>
  <c r="I1397"/>
  <c r="H1397"/>
  <c r="E1397"/>
  <c r="K1396"/>
  <c r="J1396"/>
  <c r="I1396"/>
  <c r="I1402" s="1"/>
  <c r="H1396"/>
  <c r="E1396"/>
  <c r="D1385"/>
  <c r="D1384"/>
  <c r="G1383"/>
  <c r="F1383"/>
  <c r="H1383" s="1"/>
  <c r="D1383"/>
  <c r="C1383"/>
  <c r="C1385" s="1"/>
  <c r="J1382"/>
  <c r="K1382" s="1"/>
  <c r="I1382"/>
  <c r="H1382"/>
  <c r="J1381"/>
  <c r="K1381" s="1"/>
  <c r="I1381"/>
  <c r="H1381"/>
  <c r="J1380"/>
  <c r="K1380" s="1"/>
  <c r="I1380"/>
  <c r="H1380"/>
  <c r="J1379"/>
  <c r="K1379" s="1"/>
  <c r="I1379"/>
  <c r="H1379"/>
  <c r="J1378"/>
  <c r="K1378" s="1"/>
  <c r="I1378"/>
  <c r="H1378"/>
  <c r="J1377"/>
  <c r="K1377" s="1"/>
  <c r="I1377"/>
  <c r="H1377"/>
  <c r="J1376"/>
  <c r="K1376" s="1"/>
  <c r="I1376"/>
  <c r="H1376"/>
  <c r="J1375"/>
  <c r="K1375" s="1"/>
  <c r="I1375"/>
  <c r="H1375"/>
  <c r="J1374"/>
  <c r="K1374" s="1"/>
  <c r="I1374"/>
  <c r="H1374"/>
  <c r="J1373"/>
  <c r="K1373" s="1"/>
  <c r="I1373"/>
  <c r="H1373"/>
  <c r="J1372"/>
  <c r="K1372" s="1"/>
  <c r="I1372"/>
  <c r="H1372"/>
  <c r="J1371"/>
  <c r="K1371" s="1"/>
  <c r="I1371"/>
  <c r="H1371"/>
  <c r="J1370"/>
  <c r="K1370" s="1"/>
  <c r="I1370"/>
  <c r="H1370"/>
  <c r="J1369"/>
  <c r="K1369" s="1"/>
  <c r="I1369"/>
  <c r="H1369"/>
  <c r="J1368"/>
  <c r="K1368" s="1"/>
  <c r="I1368"/>
  <c r="H1368"/>
  <c r="J1367"/>
  <c r="K1367" s="1"/>
  <c r="I1367"/>
  <c r="H1367"/>
  <c r="J1366"/>
  <c r="K1366" s="1"/>
  <c r="I1366"/>
  <c r="H1366"/>
  <c r="J1365"/>
  <c r="K1365" s="1"/>
  <c r="I1365"/>
  <c r="H1365"/>
  <c r="J1364"/>
  <c r="K1364" s="1"/>
  <c r="I1364"/>
  <c r="H1364"/>
  <c r="J1363"/>
  <c r="K1363" s="1"/>
  <c r="I1363"/>
  <c r="H1363"/>
  <c r="J1362"/>
  <c r="K1362" s="1"/>
  <c r="I1362"/>
  <c r="H1362"/>
  <c r="J1361"/>
  <c r="K1361" s="1"/>
  <c r="I1361"/>
  <c r="H1361"/>
  <c r="J1360"/>
  <c r="K1360" s="1"/>
  <c r="I1360"/>
  <c r="H1360"/>
  <c r="J1359"/>
  <c r="K1359" s="1"/>
  <c r="I1359"/>
  <c r="H1359"/>
  <c r="J1358"/>
  <c r="K1358" s="1"/>
  <c r="I1358"/>
  <c r="H1358"/>
  <c r="J1357"/>
  <c r="K1357" s="1"/>
  <c r="I1357"/>
  <c r="H1357"/>
  <c r="J1356"/>
  <c r="K1356" s="1"/>
  <c r="I1356"/>
  <c r="I1383" s="1"/>
  <c r="I1385" s="1"/>
  <c r="H1356"/>
  <c r="F1354"/>
  <c r="F1384" s="1"/>
  <c r="F1385" s="1"/>
  <c r="E1354"/>
  <c r="D1354"/>
  <c r="C1354"/>
  <c r="C1384" s="1"/>
  <c r="K1353"/>
  <c r="J1353"/>
  <c r="I1353"/>
  <c r="H1353"/>
  <c r="E1353"/>
  <c r="I1352"/>
  <c r="H1352"/>
  <c r="G1352"/>
  <c r="J1352" s="1"/>
  <c r="K1352" s="1"/>
  <c r="E1352"/>
  <c r="J1351"/>
  <c r="K1351" s="1"/>
  <c r="I1351"/>
  <c r="H1351"/>
  <c r="G1351"/>
  <c r="E1351"/>
  <c r="K1350"/>
  <c r="J1350"/>
  <c r="I1350"/>
  <c r="H1350"/>
  <c r="E1350"/>
  <c r="J1349"/>
  <c r="I1349"/>
  <c r="K1349" s="1"/>
  <c r="H1349"/>
  <c r="E1349"/>
  <c r="J1348"/>
  <c r="K1348" s="1"/>
  <c r="I1348"/>
  <c r="H1348"/>
  <c r="E1348"/>
  <c r="K1347"/>
  <c r="J1347"/>
  <c r="I1347"/>
  <c r="H1347"/>
  <c r="E1347"/>
  <c r="K1346"/>
  <c r="J1346"/>
  <c r="I1346"/>
  <c r="H1346"/>
  <c r="E1346"/>
  <c r="J1345"/>
  <c r="I1345"/>
  <c r="K1345" s="1"/>
  <c r="H1345"/>
  <c r="E1345"/>
  <c r="J1344"/>
  <c r="K1344" s="1"/>
  <c r="I1344"/>
  <c r="H1344"/>
  <c r="E1344"/>
  <c r="K1343"/>
  <c r="J1343"/>
  <c r="I1343"/>
  <c r="H1343"/>
  <c r="E1343"/>
  <c r="K1342"/>
  <c r="J1342"/>
  <c r="I1342"/>
  <c r="H1342"/>
  <c r="E1342"/>
  <c r="J1341"/>
  <c r="I1341"/>
  <c r="K1341" s="1"/>
  <c r="H1341"/>
  <c r="E1341"/>
  <c r="J1340"/>
  <c r="K1340" s="1"/>
  <c r="I1340"/>
  <c r="H1340"/>
  <c r="E1340"/>
  <c r="K1339"/>
  <c r="J1339"/>
  <c r="I1339"/>
  <c r="H1339"/>
  <c r="E1339"/>
  <c r="K1338"/>
  <c r="J1338"/>
  <c r="I1338"/>
  <c r="H1338"/>
  <c r="E1338"/>
  <c r="J1337"/>
  <c r="I1337"/>
  <c r="K1337" s="1"/>
  <c r="H1337"/>
  <c r="E1337"/>
  <c r="J1336"/>
  <c r="K1336" s="1"/>
  <c r="I1336"/>
  <c r="H1336"/>
  <c r="E1336"/>
  <c r="K1335"/>
  <c r="J1335"/>
  <c r="I1335"/>
  <c r="H1335"/>
  <c r="E1335"/>
  <c r="K1334"/>
  <c r="J1334"/>
  <c r="I1334"/>
  <c r="H1334"/>
  <c r="E1334"/>
  <c r="J1333"/>
  <c r="I1333"/>
  <c r="K1333" s="1"/>
  <c r="H1333"/>
  <c r="E1333"/>
  <c r="J1332"/>
  <c r="K1332" s="1"/>
  <c r="I1332"/>
  <c r="H1332"/>
  <c r="E1332"/>
  <c r="K1331"/>
  <c r="J1331"/>
  <c r="I1331"/>
  <c r="H1331"/>
  <c r="E1331"/>
  <c r="K1330"/>
  <c r="J1330"/>
  <c r="I1330"/>
  <c r="H1330"/>
  <c r="E1330"/>
  <c r="J1329"/>
  <c r="I1329"/>
  <c r="K1329" s="1"/>
  <c r="H1329"/>
  <c r="E1329"/>
  <c r="J1328"/>
  <c r="K1328" s="1"/>
  <c r="I1328"/>
  <c r="H1328"/>
  <c r="E1328"/>
  <c r="I1327"/>
  <c r="G1327"/>
  <c r="H1327" s="1"/>
  <c r="E1327"/>
  <c r="J1326"/>
  <c r="I1326"/>
  <c r="K1326" s="1"/>
  <c r="H1326"/>
  <c r="E1326"/>
  <c r="J1325"/>
  <c r="K1325" s="1"/>
  <c r="I1325"/>
  <c r="H1325"/>
  <c r="E1325"/>
  <c r="K1324"/>
  <c r="J1324"/>
  <c r="I1324"/>
  <c r="H1324"/>
  <c r="E1324"/>
  <c r="K1323"/>
  <c r="J1323"/>
  <c r="I1323"/>
  <c r="H1323"/>
  <c r="E1323"/>
  <c r="J1322"/>
  <c r="I1322"/>
  <c r="K1322" s="1"/>
  <c r="H1322"/>
  <c r="E1322"/>
  <c r="J1321"/>
  <c r="K1321" s="1"/>
  <c r="I1321"/>
  <c r="H1321"/>
  <c r="E1321"/>
  <c r="K1320"/>
  <c r="J1320"/>
  <c r="I1320"/>
  <c r="H1320"/>
  <c r="E1320"/>
  <c r="K1319"/>
  <c r="J1319"/>
  <c r="I1319"/>
  <c r="H1319"/>
  <c r="E1319"/>
  <c r="J1318"/>
  <c r="I1318"/>
  <c r="K1318" s="1"/>
  <c r="H1318"/>
  <c r="E1318"/>
  <c r="J1317"/>
  <c r="K1317" s="1"/>
  <c r="I1317"/>
  <c r="H1317"/>
  <c r="E1317"/>
  <c r="K1316"/>
  <c r="J1316"/>
  <c r="I1316"/>
  <c r="H1316"/>
  <c r="E1316"/>
  <c r="K1315"/>
  <c r="J1315"/>
  <c r="I1315"/>
  <c r="H1315"/>
  <c r="E1315"/>
  <c r="J1314"/>
  <c r="I1314"/>
  <c r="K1314" s="1"/>
  <c r="H1314"/>
  <c r="E1314"/>
  <c r="J1313"/>
  <c r="K1313" s="1"/>
  <c r="I1313"/>
  <c r="H1313"/>
  <c r="E1313"/>
  <c r="K1312"/>
  <c r="J1312"/>
  <c r="H1312"/>
  <c r="E1312"/>
  <c r="K1311"/>
  <c r="J1311"/>
  <c r="I1311"/>
  <c r="H1311"/>
  <c r="E1311"/>
  <c r="K1310"/>
  <c r="J1310"/>
  <c r="I1310"/>
  <c r="H1310"/>
  <c r="E1310"/>
  <c r="J1309"/>
  <c r="I1309"/>
  <c r="K1309" s="1"/>
  <c r="H1309"/>
  <c r="E1309"/>
  <c r="J1308"/>
  <c r="K1308" s="1"/>
  <c r="I1308"/>
  <c r="H1308"/>
  <c r="E1308"/>
  <c r="K1307"/>
  <c r="J1307"/>
  <c r="I1307"/>
  <c r="H1307"/>
  <c r="E1307"/>
  <c r="K1306"/>
  <c r="J1306"/>
  <c r="I1306"/>
  <c r="H1306"/>
  <c r="E1306"/>
  <c r="J1305"/>
  <c r="I1305"/>
  <c r="K1305" s="1"/>
  <c r="H1305"/>
  <c r="E1305"/>
  <c r="J1304"/>
  <c r="K1304" s="1"/>
  <c r="I1304"/>
  <c r="H1304"/>
  <c r="G1304"/>
  <c r="E1304"/>
  <c r="K1303"/>
  <c r="J1303"/>
  <c r="I1303"/>
  <c r="H1303"/>
  <c r="E1303"/>
  <c r="I1302"/>
  <c r="H1302"/>
  <c r="G1302"/>
  <c r="J1302" s="1"/>
  <c r="K1302" s="1"/>
  <c r="E1302"/>
  <c r="K1301"/>
  <c r="J1301"/>
  <c r="I1301"/>
  <c r="H1301"/>
  <c r="E1301"/>
  <c r="K1300"/>
  <c r="J1300"/>
  <c r="I1300"/>
  <c r="H1300"/>
  <c r="E1300"/>
  <c r="J1299"/>
  <c r="I1299"/>
  <c r="K1299" s="1"/>
  <c r="H1299"/>
  <c r="E1299"/>
  <c r="J1298"/>
  <c r="K1298" s="1"/>
  <c r="I1298"/>
  <c r="H1298"/>
  <c r="E1298"/>
  <c r="K1297"/>
  <c r="J1297"/>
  <c r="I1297"/>
  <c r="H1297"/>
  <c r="E1297"/>
  <c r="K1296"/>
  <c r="J1296"/>
  <c r="H1296"/>
  <c r="E1296"/>
  <c r="K1295"/>
  <c r="J1295"/>
  <c r="I1295"/>
  <c r="H1295"/>
  <c r="E1295"/>
  <c r="J1294"/>
  <c r="I1294"/>
  <c r="K1294" s="1"/>
  <c r="H1294"/>
  <c r="E1294"/>
  <c r="J1293"/>
  <c r="K1293" s="1"/>
  <c r="I1293"/>
  <c r="H1293"/>
  <c r="E1293"/>
  <c r="K1292"/>
  <c r="J1292"/>
  <c r="I1292"/>
  <c r="H1292"/>
  <c r="E1292"/>
  <c r="K1291"/>
  <c r="J1291"/>
  <c r="I1291"/>
  <c r="H1291"/>
  <c r="E1291"/>
  <c r="J1290"/>
  <c r="I1290"/>
  <c r="K1290" s="1"/>
  <c r="H1290"/>
  <c r="E1290"/>
  <c r="J1289"/>
  <c r="K1289" s="1"/>
  <c r="I1289"/>
  <c r="H1289"/>
  <c r="E1289"/>
  <c r="I1288"/>
  <c r="G1288"/>
  <c r="H1288" s="1"/>
  <c r="E1288"/>
  <c r="J1287"/>
  <c r="I1287"/>
  <c r="K1287" s="1"/>
  <c r="H1287"/>
  <c r="E1287"/>
  <c r="J1286"/>
  <c r="K1286" s="1"/>
  <c r="I1286"/>
  <c r="H1286"/>
  <c r="E1286"/>
  <c r="K1285"/>
  <c r="J1285"/>
  <c r="I1285"/>
  <c r="H1285"/>
  <c r="E1285"/>
  <c r="K1284"/>
  <c r="J1284"/>
  <c r="I1284"/>
  <c r="H1284"/>
  <c r="E1284"/>
  <c r="I1283"/>
  <c r="I1354" s="1"/>
  <c r="I1384" s="1"/>
  <c r="H1283"/>
  <c r="G1283"/>
  <c r="J1283" s="1"/>
  <c r="K1283" s="1"/>
  <c r="E1283"/>
  <c r="K1282"/>
  <c r="J1282"/>
  <c r="I1282"/>
  <c r="H1282"/>
  <c r="E1282"/>
  <c r="I1281"/>
  <c r="H1281"/>
  <c r="G1281"/>
  <c r="J1281" s="1"/>
  <c r="K1281" s="1"/>
  <c r="E1281"/>
  <c r="J1280"/>
  <c r="K1280" s="1"/>
  <c r="H1280"/>
  <c r="E1280"/>
  <c r="J1279"/>
  <c r="K1279" s="1"/>
  <c r="H1279"/>
  <c r="E1279"/>
  <c r="F1269"/>
  <c r="D1269"/>
  <c r="G1268"/>
  <c r="G1269" s="1"/>
  <c r="H1269" s="1"/>
  <c r="F1268"/>
  <c r="D1268"/>
  <c r="C1268"/>
  <c r="E1268" s="1"/>
  <c r="K1267"/>
  <c r="J1267"/>
  <c r="I1267"/>
  <c r="H1267"/>
  <c r="E1267"/>
  <c r="J1266"/>
  <c r="I1266"/>
  <c r="K1266" s="1"/>
  <c r="H1266"/>
  <c r="E1266"/>
  <c r="J1265"/>
  <c r="K1265" s="1"/>
  <c r="I1265"/>
  <c r="H1265"/>
  <c r="E1265"/>
  <c r="K1264"/>
  <c r="J1264"/>
  <c r="I1264"/>
  <c r="H1264"/>
  <c r="E1264"/>
  <c r="K1263"/>
  <c r="J1263"/>
  <c r="I1263"/>
  <c r="H1263"/>
  <c r="E1263"/>
  <c r="J1262"/>
  <c r="I1262"/>
  <c r="K1262" s="1"/>
  <c r="H1262"/>
  <c r="E1262"/>
  <c r="J1261"/>
  <c r="K1261" s="1"/>
  <c r="I1261"/>
  <c r="H1261"/>
  <c r="E1261"/>
  <c r="K1260"/>
  <c r="J1260"/>
  <c r="I1260"/>
  <c r="H1260"/>
  <c r="E1260"/>
  <c r="K1259"/>
  <c r="J1259"/>
  <c r="I1259"/>
  <c r="H1259"/>
  <c r="E1259"/>
  <c r="J1258"/>
  <c r="I1258"/>
  <c r="K1258" s="1"/>
  <c r="H1258"/>
  <c r="E1258"/>
  <c r="J1257"/>
  <c r="K1257" s="1"/>
  <c r="I1257"/>
  <c r="H1257"/>
  <c r="E1257"/>
  <c r="K1256"/>
  <c r="J1256"/>
  <c r="I1256"/>
  <c r="H1256"/>
  <c r="E1256"/>
  <c r="K1255"/>
  <c r="J1255"/>
  <c r="I1255"/>
  <c r="H1255"/>
  <c r="E1255"/>
  <c r="J1254"/>
  <c r="I1254"/>
  <c r="K1254" s="1"/>
  <c r="H1254"/>
  <c r="E1254"/>
  <c r="J1253"/>
  <c r="K1253" s="1"/>
  <c r="I1253"/>
  <c r="H1253"/>
  <c r="E1253"/>
  <c r="K1252"/>
  <c r="J1252"/>
  <c r="I1252"/>
  <c r="H1252"/>
  <c r="E1252"/>
  <c r="K1251"/>
  <c r="J1251"/>
  <c r="I1251"/>
  <c r="H1251"/>
  <c r="E1251"/>
  <c r="J1250"/>
  <c r="I1250"/>
  <c r="K1250" s="1"/>
  <c r="H1250"/>
  <c r="E1250"/>
  <c r="J1249"/>
  <c r="K1249" s="1"/>
  <c r="I1249"/>
  <c r="H1249"/>
  <c r="E1249"/>
  <c r="K1248"/>
  <c r="J1248"/>
  <c r="I1248"/>
  <c r="H1248"/>
  <c r="E1248"/>
  <c r="K1247"/>
  <c r="J1247"/>
  <c r="I1247"/>
  <c r="H1247"/>
  <c r="E1247"/>
  <c r="J1246"/>
  <c r="I1246"/>
  <c r="K1246" s="1"/>
  <c r="H1246"/>
  <c r="E1246"/>
  <c r="J1245"/>
  <c r="K1245" s="1"/>
  <c r="I1245"/>
  <c r="H1245"/>
  <c r="E1245"/>
  <c r="K1244"/>
  <c r="J1244"/>
  <c r="I1244"/>
  <c r="H1244"/>
  <c r="E1244"/>
  <c r="K1243"/>
  <c r="J1243"/>
  <c r="I1243"/>
  <c r="H1243"/>
  <c r="E1243"/>
  <c r="J1242"/>
  <c r="I1242"/>
  <c r="K1242" s="1"/>
  <c r="H1242"/>
  <c r="E1242"/>
  <c r="J1241"/>
  <c r="K1241" s="1"/>
  <c r="I1241"/>
  <c r="H1241"/>
  <c r="E1241"/>
  <c r="K1240"/>
  <c r="J1240"/>
  <c r="I1240"/>
  <c r="H1240"/>
  <c r="E1240"/>
  <c r="K1239"/>
  <c r="J1239"/>
  <c r="I1239"/>
  <c r="H1239"/>
  <c r="E1239"/>
  <c r="J1238"/>
  <c r="I1238"/>
  <c r="K1238" s="1"/>
  <c r="H1238"/>
  <c r="E1238"/>
  <c r="J1237"/>
  <c r="K1237" s="1"/>
  <c r="I1237"/>
  <c r="H1237"/>
  <c r="E1237"/>
  <c r="K1236"/>
  <c r="J1236"/>
  <c r="I1236"/>
  <c r="H1236"/>
  <c r="E1236"/>
  <c r="K1235"/>
  <c r="J1235"/>
  <c r="I1235"/>
  <c r="H1235"/>
  <c r="E1235"/>
  <c r="J1234"/>
  <c r="I1234"/>
  <c r="K1234" s="1"/>
  <c r="H1234"/>
  <c r="E1234"/>
  <c r="J1233"/>
  <c r="K1233" s="1"/>
  <c r="I1233"/>
  <c r="H1233"/>
  <c r="E1233"/>
  <c r="K1232"/>
  <c r="J1232"/>
  <c r="I1232"/>
  <c r="H1232"/>
  <c r="E1232"/>
  <c r="K1231"/>
  <c r="J1231"/>
  <c r="I1231"/>
  <c r="H1231"/>
  <c r="E1231"/>
  <c r="J1230"/>
  <c r="I1230"/>
  <c r="K1230" s="1"/>
  <c r="H1230"/>
  <c r="E1230"/>
  <c r="J1229"/>
  <c r="K1229" s="1"/>
  <c r="I1229"/>
  <c r="H1229"/>
  <c r="E1229"/>
  <c r="K1228"/>
  <c r="J1228"/>
  <c r="I1228"/>
  <c r="H1228"/>
  <c r="E1228"/>
  <c r="K1227"/>
  <c r="J1227"/>
  <c r="I1227"/>
  <c r="H1227"/>
  <c r="E1227"/>
  <c r="J1226"/>
  <c r="I1226"/>
  <c r="K1226" s="1"/>
  <c r="H1226"/>
  <c r="E1226"/>
  <c r="J1225"/>
  <c r="K1225" s="1"/>
  <c r="I1225"/>
  <c r="H1225"/>
  <c r="E1225"/>
  <c r="K1224"/>
  <c r="J1224"/>
  <c r="I1224"/>
  <c r="H1224"/>
  <c r="E1224"/>
  <c r="K1223"/>
  <c r="J1223"/>
  <c r="I1223"/>
  <c r="H1223"/>
  <c r="E1223"/>
  <c r="J1222"/>
  <c r="I1222"/>
  <c r="K1222" s="1"/>
  <c r="H1222"/>
  <c r="E1222"/>
  <c r="J1221"/>
  <c r="K1221" s="1"/>
  <c r="I1221"/>
  <c r="H1221"/>
  <c r="E1221"/>
  <c r="K1220"/>
  <c r="J1220"/>
  <c r="I1220"/>
  <c r="H1220"/>
  <c r="E1220"/>
  <c r="K1219"/>
  <c r="J1219"/>
  <c r="I1219"/>
  <c r="H1219"/>
  <c r="E1219"/>
  <c r="J1218"/>
  <c r="I1218"/>
  <c r="K1218" s="1"/>
  <c r="H1218"/>
  <c r="E1218"/>
  <c r="J1217"/>
  <c r="K1217" s="1"/>
  <c r="I1217"/>
  <c r="H1217"/>
  <c r="E1217"/>
  <c r="K1216"/>
  <c r="J1216"/>
  <c r="I1216"/>
  <c r="H1216"/>
  <c r="E1216"/>
  <c r="K1215"/>
  <c r="J1215"/>
  <c r="I1215"/>
  <c r="H1215"/>
  <c r="E1215"/>
  <c r="J1214"/>
  <c r="I1214"/>
  <c r="K1214" s="1"/>
  <c r="H1214"/>
  <c r="E1214"/>
  <c r="J1213"/>
  <c r="K1213" s="1"/>
  <c r="I1213"/>
  <c r="H1213"/>
  <c r="E1213"/>
  <c r="K1212"/>
  <c r="J1212"/>
  <c r="I1212"/>
  <c r="H1212"/>
  <c r="E1212"/>
  <c r="K1211"/>
  <c r="J1211"/>
  <c r="I1211"/>
  <c r="H1211"/>
  <c r="E1211"/>
  <c r="J1210"/>
  <c r="I1210"/>
  <c r="K1210" s="1"/>
  <c r="H1210"/>
  <c r="E1210"/>
  <c r="J1209"/>
  <c r="K1209" s="1"/>
  <c r="I1209"/>
  <c r="H1209"/>
  <c r="E1209"/>
  <c r="K1208"/>
  <c r="J1208"/>
  <c r="I1208"/>
  <c r="H1208"/>
  <c r="E1208"/>
  <c r="K1207"/>
  <c r="J1207"/>
  <c r="I1207"/>
  <c r="H1207"/>
  <c r="E1207"/>
  <c r="J1206"/>
  <c r="I1206"/>
  <c r="K1206" s="1"/>
  <c r="H1206"/>
  <c r="E1206"/>
  <c r="J1205"/>
  <c r="K1205" s="1"/>
  <c r="I1205"/>
  <c r="H1205"/>
  <c r="E1205"/>
  <c r="K1204"/>
  <c r="J1204"/>
  <c r="J1268" s="1"/>
  <c r="I1204"/>
  <c r="H1204"/>
  <c r="E1204"/>
  <c r="K1203"/>
  <c r="J1203"/>
  <c r="I1203"/>
  <c r="I1268" s="1"/>
  <c r="I1269" s="1"/>
  <c r="H1203"/>
  <c r="E1203"/>
  <c r="D1190"/>
  <c r="C1190"/>
  <c r="F1189"/>
  <c r="F1190" s="1"/>
  <c r="E1189"/>
  <c r="D1189"/>
  <c r="C1189"/>
  <c r="J1188"/>
  <c r="K1188" s="1"/>
  <c r="I1188"/>
  <c r="H1188"/>
  <c r="E1188"/>
  <c r="K1187"/>
  <c r="J1187"/>
  <c r="I1187"/>
  <c r="H1187"/>
  <c r="E1187"/>
  <c r="K1186"/>
  <c r="J1186"/>
  <c r="I1186"/>
  <c r="H1186"/>
  <c r="E1186"/>
  <c r="I1185"/>
  <c r="H1185"/>
  <c r="G1185"/>
  <c r="J1185" s="1"/>
  <c r="K1185" s="1"/>
  <c r="E1185"/>
  <c r="K1184"/>
  <c r="J1184"/>
  <c r="I1184"/>
  <c r="H1184"/>
  <c r="E1184"/>
  <c r="K1183"/>
  <c r="J1183"/>
  <c r="I1183"/>
  <c r="H1183"/>
  <c r="E1183"/>
  <c r="J1182"/>
  <c r="I1182"/>
  <c r="K1182" s="1"/>
  <c r="H1182"/>
  <c r="E1182"/>
  <c r="J1181"/>
  <c r="K1181" s="1"/>
  <c r="I1181"/>
  <c r="H1181"/>
  <c r="E1181"/>
  <c r="K1180"/>
  <c r="J1180"/>
  <c r="I1180"/>
  <c r="H1180"/>
  <c r="E1180"/>
  <c r="K1179"/>
  <c r="J1179"/>
  <c r="I1179"/>
  <c r="H1179"/>
  <c r="E1179"/>
  <c r="J1178"/>
  <c r="I1178"/>
  <c r="K1178" s="1"/>
  <c r="H1178"/>
  <c r="E1178"/>
  <c r="J1177"/>
  <c r="K1177" s="1"/>
  <c r="I1177"/>
  <c r="H1177"/>
  <c r="E1177"/>
  <c r="K1176"/>
  <c r="J1176"/>
  <c r="I1176"/>
  <c r="H1176"/>
  <c r="E1176"/>
  <c r="K1175"/>
  <c r="J1175"/>
  <c r="I1175"/>
  <c r="H1175"/>
  <c r="E1175"/>
  <c r="J1174"/>
  <c r="I1174"/>
  <c r="K1174" s="1"/>
  <c r="H1174"/>
  <c r="E1174"/>
  <c r="J1173"/>
  <c r="K1173" s="1"/>
  <c r="I1173"/>
  <c r="H1173"/>
  <c r="G1173"/>
  <c r="E1173"/>
  <c r="I1172"/>
  <c r="H1172"/>
  <c r="G1172"/>
  <c r="J1172" s="1"/>
  <c r="K1172" s="1"/>
  <c r="E1172"/>
  <c r="J1171"/>
  <c r="K1171" s="1"/>
  <c r="I1171"/>
  <c r="H1171"/>
  <c r="E1171"/>
  <c r="I1170"/>
  <c r="G1170"/>
  <c r="J1170" s="1"/>
  <c r="K1170" s="1"/>
  <c r="E1170"/>
  <c r="I1169"/>
  <c r="H1169"/>
  <c r="G1169"/>
  <c r="J1169" s="1"/>
  <c r="K1169" s="1"/>
  <c r="E1169"/>
  <c r="I1168"/>
  <c r="G1168"/>
  <c r="J1168" s="1"/>
  <c r="K1168" s="1"/>
  <c r="E1168"/>
  <c r="J1167"/>
  <c r="I1167"/>
  <c r="K1167" s="1"/>
  <c r="H1167"/>
  <c r="E1167"/>
  <c r="J1166"/>
  <c r="K1166" s="1"/>
  <c r="I1166"/>
  <c r="H1166"/>
  <c r="E1166"/>
  <c r="K1165"/>
  <c r="J1165"/>
  <c r="I1165"/>
  <c r="H1165"/>
  <c r="E1165"/>
  <c r="I1164"/>
  <c r="H1164"/>
  <c r="G1164"/>
  <c r="J1164" s="1"/>
  <c r="K1164" s="1"/>
  <c r="E1164"/>
  <c r="J1163"/>
  <c r="K1163" s="1"/>
  <c r="I1163"/>
  <c r="H1163"/>
  <c r="G1163"/>
  <c r="E1163"/>
  <c r="K1162"/>
  <c r="J1162"/>
  <c r="I1162"/>
  <c r="H1162"/>
  <c r="E1162"/>
  <c r="J1161"/>
  <c r="I1161"/>
  <c r="K1161" s="1"/>
  <c r="H1161"/>
  <c r="E1161"/>
  <c r="J1160"/>
  <c r="K1160" s="1"/>
  <c r="I1160"/>
  <c r="H1160"/>
  <c r="E1160"/>
  <c r="K1159"/>
  <c r="J1159"/>
  <c r="I1159"/>
  <c r="H1159"/>
  <c r="E1159"/>
  <c r="K1158"/>
  <c r="J1158"/>
  <c r="I1158"/>
  <c r="H1158"/>
  <c r="E1158"/>
  <c r="J1157"/>
  <c r="I1157"/>
  <c r="K1157" s="1"/>
  <c r="H1157"/>
  <c r="E1157"/>
  <c r="J1156"/>
  <c r="K1156" s="1"/>
  <c r="I1156"/>
  <c r="H1156"/>
  <c r="E1156"/>
  <c r="K1155"/>
  <c r="J1155"/>
  <c r="I1155"/>
  <c r="H1155"/>
  <c r="E1155"/>
  <c r="K1154"/>
  <c r="J1154"/>
  <c r="I1154"/>
  <c r="H1154"/>
  <c r="E1154"/>
  <c r="J1153"/>
  <c r="I1153"/>
  <c r="K1153" s="1"/>
  <c r="H1153"/>
  <c r="E1153"/>
  <c r="J1152"/>
  <c r="K1152" s="1"/>
  <c r="I1152"/>
  <c r="H1152"/>
  <c r="E1152"/>
  <c r="K1151"/>
  <c r="J1151"/>
  <c r="I1151"/>
  <c r="H1151"/>
  <c r="E1151"/>
  <c r="K1150"/>
  <c r="J1150"/>
  <c r="I1150"/>
  <c r="H1150"/>
  <c r="E1150"/>
  <c r="J1149"/>
  <c r="I1149"/>
  <c r="K1149" s="1"/>
  <c r="H1149"/>
  <c r="E1149"/>
  <c r="J1148"/>
  <c r="K1148" s="1"/>
  <c r="I1148"/>
  <c r="H1148"/>
  <c r="E1148"/>
  <c r="K1147"/>
  <c r="J1147"/>
  <c r="I1147"/>
  <c r="H1147"/>
  <c r="E1147"/>
  <c r="K1146"/>
  <c r="J1146"/>
  <c r="I1146"/>
  <c r="H1146"/>
  <c r="E1146"/>
  <c r="J1145"/>
  <c r="I1145"/>
  <c r="K1145" s="1"/>
  <c r="H1145"/>
  <c r="E1145"/>
  <c r="J1144"/>
  <c r="K1144" s="1"/>
  <c r="I1144"/>
  <c r="H1144"/>
  <c r="E1144"/>
  <c r="K1143"/>
  <c r="J1143"/>
  <c r="I1143"/>
  <c r="H1143"/>
  <c r="E1143"/>
  <c r="K1142"/>
  <c r="J1142"/>
  <c r="I1142"/>
  <c r="H1142"/>
  <c r="E1142"/>
  <c r="J1141"/>
  <c r="I1141"/>
  <c r="K1141" s="1"/>
  <c r="H1141"/>
  <c r="E1141"/>
  <c r="J1140"/>
  <c r="K1140" s="1"/>
  <c r="I1140"/>
  <c r="H1140"/>
  <c r="E1140"/>
  <c r="K1139"/>
  <c r="J1139"/>
  <c r="I1139"/>
  <c r="H1139"/>
  <c r="E1139"/>
  <c r="K1138"/>
  <c r="J1138"/>
  <c r="I1138"/>
  <c r="H1138"/>
  <c r="E1138"/>
  <c r="J1137"/>
  <c r="I1137"/>
  <c r="K1137" s="1"/>
  <c r="H1137"/>
  <c r="E1137"/>
  <c r="J1136"/>
  <c r="K1136" s="1"/>
  <c r="I1136"/>
  <c r="H1136"/>
  <c r="E1136"/>
  <c r="K1135"/>
  <c r="J1135"/>
  <c r="I1135"/>
  <c r="H1135"/>
  <c r="E1135"/>
  <c r="K1134"/>
  <c r="J1134"/>
  <c r="I1134"/>
  <c r="H1134"/>
  <c r="E1134"/>
  <c r="J1133"/>
  <c r="I1133"/>
  <c r="K1133" s="1"/>
  <c r="H1133"/>
  <c r="E1133"/>
  <c r="J1132"/>
  <c r="K1132" s="1"/>
  <c r="H1132"/>
  <c r="G1132"/>
  <c r="E1132"/>
  <c r="K1131"/>
  <c r="J1131"/>
  <c r="I1131"/>
  <c r="H1131"/>
  <c r="E1131"/>
  <c r="K1130"/>
  <c r="J1130"/>
  <c r="I1130"/>
  <c r="H1130"/>
  <c r="E1130"/>
  <c r="J1129"/>
  <c r="I1129"/>
  <c r="K1129" s="1"/>
  <c r="H1129"/>
  <c r="E1129"/>
  <c r="J1128"/>
  <c r="K1128" s="1"/>
  <c r="I1128"/>
  <c r="H1128"/>
  <c r="E1128"/>
  <c r="K1127"/>
  <c r="J1127"/>
  <c r="I1127"/>
  <c r="H1127"/>
  <c r="E1127"/>
  <c r="K1126"/>
  <c r="J1126"/>
  <c r="I1126"/>
  <c r="H1126"/>
  <c r="E1126"/>
  <c r="J1125"/>
  <c r="I1125"/>
  <c r="K1125" s="1"/>
  <c r="H1125"/>
  <c r="E1125"/>
  <c r="J1124"/>
  <c r="K1124" s="1"/>
  <c r="I1124"/>
  <c r="H1124"/>
  <c r="E1124"/>
  <c r="I1123"/>
  <c r="G1123"/>
  <c r="J1123" s="1"/>
  <c r="K1123" s="1"/>
  <c r="E1123"/>
  <c r="J1122"/>
  <c r="I1122"/>
  <c r="K1122" s="1"/>
  <c r="H1122"/>
  <c r="E1122"/>
  <c r="J1121"/>
  <c r="K1121" s="1"/>
  <c r="I1121"/>
  <c r="H1121"/>
  <c r="E1121"/>
  <c r="K1120"/>
  <c r="J1120"/>
  <c r="I1120"/>
  <c r="H1120"/>
  <c r="E1120"/>
  <c r="I1119"/>
  <c r="H1119"/>
  <c r="G1119"/>
  <c r="J1119" s="1"/>
  <c r="K1119" s="1"/>
  <c r="E1119"/>
  <c r="J1118"/>
  <c r="K1118" s="1"/>
  <c r="I1118"/>
  <c r="H1118"/>
  <c r="E1118"/>
  <c r="K1117"/>
  <c r="J1117"/>
  <c r="I1117"/>
  <c r="H1117"/>
  <c r="E1117"/>
  <c r="K1116"/>
  <c r="J1116"/>
  <c r="I1116"/>
  <c r="H1116"/>
  <c r="E1116"/>
  <c r="J1115"/>
  <c r="I1115"/>
  <c r="K1115" s="1"/>
  <c r="H1115"/>
  <c r="E1115"/>
  <c r="J1114"/>
  <c r="K1114" s="1"/>
  <c r="I1114"/>
  <c r="H1114"/>
  <c r="G1114"/>
  <c r="E1114"/>
  <c r="I1113"/>
  <c r="H1113"/>
  <c r="G1113"/>
  <c r="J1113" s="1"/>
  <c r="K1113" s="1"/>
  <c r="E1113"/>
  <c r="J1112"/>
  <c r="K1112" s="1"/>
  <c r="I1112"/>
  <c r="H1112"/>
  <c r="E1112"/>
  <c r="K1111"/>
  <c r="J1111"/>
  <c r="I1111"/>
  <c r="H1111"/>
  <c r="E1111"/>
  <c r="I1110"/>
  <c r="H1110"/>
  <c r="G1110"/>
  <c r="J1110" s="1"/>
  <c r="K1110" s="1"/>
  <c r="E1110"/>
  <c r="J1109"/>
  <c r="K1109" s="1"/>
  <c r="I1109"/>
  <c r="H1109"/>
  <c r="E1109"/>
  <c r="K1108"/>
  <c r="J1108"/>
  <c r="I1108"/>
  <c r="H1108"/>
  <c r="E1108"/>
  <c r="K1107"/>
  <c r="J1107"/>
  <c r="I1107"/>
  <c r="H1107"/>
  <c r="E1107"/>
  <c r="J1106"/>
  <c r="I1106"/>
  <c r="K1106" s="1"/>
  <c r="H1106"/>
  <c r="E1106"/>
  <c r="J1105"/>
  <c r="K1105" s="1"/>
  <c r="I1105"/>
  <c r="H1105"/>
  <c r="E1105"/>
  <c r="K1104"/>
  <c r="J1104"/>
  <c r="I1104"/>
  <c r="H1104"/>
  <c r="E1104"/>
  <c r="I1103"/>
  <c r="H1103"/>
  <c r="G1103"/>
  <c r="J1103" s="1"/>
  <c r="K1103" s="1"/>
  <c r="E1103"/>
  <c r="J1102"/>
  <c r="K1102" s="1"/>
  <c r="I1102"/>
  <c r="H1102"/>
  <c r="E1102"/>
  <c r="K1101"/>
  <c r="J1101"/>
  <c r="I1101"/>
  <c r="H1101"/>
  <c r="E1101"/>
  <c r="K1100"/>
  <c r="J1100"/>
  <c r="I1100"/>
  <c r="H1100"/>
  <c r="E1100"/>
  <c r="J1099"/>
  <c r="I1099"/>
  <c r="K1099" s="1"/>
  <c r="H1099"/>
  <c r="E1099"/>
  <c r="J1098"/>
  <c r="K1098" s="1"/>
  <c r="I1098"/>
  <c r="H1098"/>
  <c r="E1098"/>
  <c r="K1097"/>
  <c r="J1097"/>
  <c r="I1097"/>
  <c r="H1097"/>
  <c r="E1097"/>
  <c r="K1096"/>
  <c r="J1096"/>
  <c r="I1096"/>
  <c r="H1096"/>
  <c r="E1096"/>
  <c r="J1095"/>
  <c r="I1095"/>
  <c r="K1095" s="1"/>
  <c r="H1095"/>
  <c r="E1095"/>
  <c r="J1094"/>
  <c r="K1094" s="1"/>
  <c r="I1094"/>
  <c r="H1094"/>
  <c r="E1094"/>
  <c r="K1093"/>
  <c r="J1093"/>
  <c r="I1093"/>
  <c r="H1093"/>
  <c r="E1093"/>
  <c r="K1092"/>
  <c r="J1092"/>
  <c r="I1092"/>
  <c r="H1092"/>
  <c r="E1092"/>
  <c r="J1091"/>
  <c r="I1091"/>
  <c r="K1091" s="1"/>
  <c r="H1091"/>
  <c r="E1091"/>
  <c r="J1090"/>
  <c r="K1090" s="1"/>
  <c r="I1090"/>
  <c r="H1090"/>
  <c r="E1090"/>
  <c r="K1089"/>
  <c r="J1089"/>
  <c r="I1089"/>
  <c r="H1089"/>
  <c r="E1089"/>
  <c r="K1088"/>
  <c r="J1088"/>
  <c r="I1088"/>
  <c r="H1088"/>
  <c r="E1088"/>
  <c r="J1087"/>
  <c r="I1087"/>
  <c r="K1087" s="1"/>
  <c r="H1087"/>
  <c r="E1087"/>
  <c r="J1086"/>
  <c r="K1086" s="1"/>
  <c r="I1086"/>
  <c r="H1086"/>
  <c r="E1086"/>
  <c r="K1085"/>
  <c r="J1085"/>
  <c r="I1085"/>
  <c r="H1085"/>
  <c r="E1085"/>
  <c r="I1084"/>
  <c r="H1084"/>
  <c r="E1084"/>
  <c r="D1084"/>
  <c r="J1084" s="1"/>
  <c r="K1084" s="1"/>
  <c r="J1083"/>
  <c r="K1083" s="1"/>
  <c r="I1083"/>
  <c r="H1083"/>
  <c r="E1083"/>
  <c r="K1082"/>
  <c r="J1082"/>
  <c r="I1082"/>
  <c r="H1082"/>
  <c r="E1082"/>
  <c r="K1081"/>
  <c r="J1081"/>
  <c r="I1081"/>
  <c r="H1081"/>
  <c r="E1081"/>
  <c r="J1080"/>
  <c r="I1080"/>
  <c r="K1080" s="1"/>
  <c r="H1080"/>
  <c r="E1080"/>
  <c r="J1079"/>
  <c r="K1079" s="1"/>
  <c r="I1079"/>
  <c r="H1079"/>
  <c r="E1079"/>
  <c r="K1078"/>
  <c r="J1078"/>
  <c r="I1078"/>
  <c r="H1078"/>
  <c r="E1078"/>
  <c r="K1077"/>
  <c r="J1077"/>
  <c r="I1077"/>
  <c r="H1077"/>
  <c r="E1077"/>
  <c r="I1076"/>
  <c r="H1076"/>
  <c r="G1076"/>
  <c r="J1076" s="1"/>
  <c r="K1076" s="1"/>
  <c r="E1076"/>
  <c r="K1075"/>
  <c r="J1075"/>
  <c r="I1075"/>
  <c r="H1075"/>
  <c r="E1075"/>
  <c r="K1074"/>
  <c r="J1074"/>
  <c r="I1074"/>
  <c r="H1074"/>
  <c r="E1074"/>
  <c r="J1073"/>
  <c r="I1073"/>
  <c r="K1073" s="1"/>
  <c r="H1073"/>
  <c r="E1073"/>
  <c r="J1072"/>
  <c r="K1072" s="1"/>
  <c r="I1072"/>
  <c r="H1072"/>
  <c r="E1072"/>
  <c r="K1071"/>
  <c r="J1071"/>
  <c r="I1071"/>
  <c r="H1071"/>
  <c r="E1071"/>
  <c r="K1070"/>
  <c r="J1070"/>
  <c r="I1070"/>
  <c r="H1070"/>
  <c r="E1070"/>
  <c r="J1069"/>
  <c r="I1069"/>
  <c r="K1069" s="1"/>
  <c r="H1069"/>
  <c r="E1069"/>
  <c r="J1068"/>
  <c r="K1068" s="1"/>
  <c r="I1068"/>
  <c r="H1068"/>
  <c r="E1068"/>
  <c r="K1067"/>
  <c r="J1067"/>
  <c r="I1067"/>
  <c r="H1067"/>
  <c r="E1067"/>
  <c r="K1066"/>
  <c r="J1066"/>
  <c r="I1066"/>
  <c r="H1066"/>
  <c r="E1066"/>
  <c r="J1065"/>
  <c r="I1065"/>
  <c r="K1065" s="1"/>
  <c r="H1065"/>
  <c r="E1065"/>
  <c r="J1064"/>
  <c r="K1064" s="1"/>
  <c r="I1064"/>
  <c r="H1064"/>
  <c r="E1064"/>
  <c r="K1063"/>
  <c r="J1063"/>
  <c r="I1063"/>
  <c r="H1063"/>
  <c r="E1063"/>
  <c r="K1062"/>
  <c r="J1062"/>
  <c r="I1062"/>
  <c r="H1062"/>
  <c r="E1062"/>
  <c r="J1061"/>
  <c r="I1061"/>
  <c r="K1061" s="1"/>
  <c r="H1061"/>
  <c r="E1061"/>
  <c r="J1060"/>
  <c r="K1060" s="1"/>
  <c r="I1060"/>
  <c r="H1060"/>
  <c r="E1060"/>
  <c r="K1059"/>
  <c r="J1059"/>
  <c r="I1059"/>
  <c r="H1059"/>
  <c r="E1059"/>
  <c r="K1058"/>
  <c r="J1058"/>
  <c r="I1058"/>
  <c r="H1058"/>
  <c r="E1058"/>
  <c r="J1057"/>
  <c r="I1057"/>
  <c r="K1057" s="1"/>
  <c r="H1057"/>
  <c r="E1057"/>
  <c r="J1056"/>
  <c r="K1056" s="1"/>
  <c r="I1056"/>
  <c r="H1056"/>
  <c r="E1056"/>
  <c r="K1055"/>
  <c r="J1055"/>
  <c r="I1055"/>
  <c r="H1055"/>
  <c r="E1055"/>
  <c r="K1054"/>
  <c r="J1054"/>
  <c r="I1054"/>
  <c r="H1054"/>
  <c r="E1054"/>
  <c r="J1053"/>
  <c r="I1053"/>
  <c r="K1053" s="1"/>
  <c r="H1053"/>
  <c r="E1053"/>
  <c r="J1052"/>
  <c r="K1052" s="1"/>
  <c r="I1052"/>
  <c r="H1052"/>
  <c r="E1052"/>
  <c r="K1051"/>
  <c r="J1051"/>
  <c r="I1051"/>
  <c r="H1051"/>
  <c r="E1051"/>
  <c r="K1050"/>
  <c r="J1050"/>
  <c r="I1050"/>
  <c r="H1050"/>
  <c r="E1050"/>
  <c r="J1049"/>
  <c r="I1049"/>
  <c r="K1049" s="1"/>
  <c r="H1049"/>
  <c r="E1049"/>
  <c r="J1048"/>
  <c r="K1048" s="1"/>
  <c r="I1048"/>
  <c r="H1048"/>
  <c r="E1048"/>
  <c r="K1047"/>
  <c r="J1047"/>
  <c r="I1047"/>
  <c r="H1047"/>
  <c r="E1047"/>
  <c r="K1046"/>
  <c r="J1046"/>
  <c r="I1046"/>
  <c r="H1046"/>
  <c r="E1046"/>
  <c r="J1045"/>
  <c r="I1045"/>
  <c r="K1045" s="1"/>
  <c r="H1045"/>
  <c r="E1045"/>
  <c r="J1044"/>
  <c r="K1044" s="1"/>
  <c r="I1044"/>
  <c r="H1044"/>
  <c r="E1044"/>
  <c r="K1043"/>
  <c r="J1043"/>
  <c r="I1043"/>
  <c r="H1043"/>
  <c r="E1043"/>
  <c r="K1042"/>
  <c r="J1042"/>
  <c r="I1042"/>
  <c r="H1042"/>
  <c r="E1042"/>
  <c r="J1041"/>
  <c r="I1041"/>
  <c r="K1041" s="1"/>
  <c r="H1041"/>
  <c r="E1041"/>
  <c r="J1040"/>
  <c r="K1040" s="1"/>
  <c r="I1040"/>
  <c r="H1040"/>
  <c r="E1040"/>
  <c r="K1039"/>
  <c r="J1039"/>
  <c r="I1039"/>
  <c r="H1039"/>
  <c r="E1039"/>
  <c r="K1038"/>
  <c r="J1038"/>
  <c r="I1038"/>
  <c r="H1038"/>
  <c r="E1038"/>
  <c r="J1037"/>
  <c r="I1037"/>
  <c r="K1037" s="1"/>
  <c r="H1037"/>
  <c r="E1037"/>
  <c r="J1036"/>
  <c r="K1036" s="1"/>
  <c r="I1036"/>
  <c r="H1036"/>
  <c r="E1036"/>
  <c r="I1035"/>
  <c r="G1035"/>
  <c r="G1189" s="1"/>
  <c r="E1035"/>
  <c r="J1034"/>
  <c r="I1034"/>
  <c r="K1034" s="1"/>
  <c r="H1034"/>
  <c r="E1034"/>
  <c r="J1033"/>
  <c r="K1033" s="1"/>
  <c r="I1033"/>
  <c r="H1033"/>
  <c r="E1033"/>
  <c r="K1032"/>
  <c r="J1032"/>
  <c r="I1032"/>
  <c r="H1032"/>
  <c r="E1032"/>
  <c r="K1031"/>
  <c r="J1031"/>
  <c r="I1031"/>
  <c r="H1031"/>
  <c r="E1031"/>
  <c r="J1030"/>
  <c r="I1030"/>
  <c r="K1030" s="1"/>
  <c r="H1030"/>
  <c r="E1030"/>
  <c r="J1029"/>
  <c r="K1029" s="1"/>
  <c r="I1029"/>
  <c r="H1029"/>
  <c r="E1029"/>
  <c r="K1028"/>
  <c r="J1028"/>
  <c r="I1028"/>
  <c r="H1028"/>
  <c r="E1028"/>
  <c r="K1027"/>
  <c r="J1027"/>
  <c r="I1027"/>
  <c r="H1027"/>
  <c r="E1027"/>
  <c r="I1026"/>
  <c r="H1026"/>
  <c r="E1026"/>
  <c r="D1026"/>
  <c r="J1026" s="1"/>
  <c r="K1026" s="1"/>
  <c r="K1025"/>
  <c r="J1025"/>
  <c r="I1025"/>
  <c r="H1025"/>
  <c r="E1025"/>
  <c r="K1024"/>
  <c r="J1024"/>
  <c r="I1024"/>
  <c r="H1024"/>
  <c r="E1024"/>
  <c r="J1023"/>
  <c r="I1023"/>
  <c r="K1023" s="1"/>
  <c r="H1023"/>
  <c r="E1023"/>
  <c r="J1022"/>
  <c r="K1022" s="1"/>
  <c r="I1022"/>
  <c r="H1022"/>
  <c r="E1022"/>
  <c r="K1021"/>
  <c r="J1021"/>
  <c r="I1021"/>
  <c r="H1021"/>
  <c r="E1021"/>
  <c r="K1020"/>
  <c r="J1020"/>
  <c r="I1020"/>
  <c r="H1020"/>
  <c r="E1020"/>
  <c r="J1019"/>
  <c r="I1019"/>
  <c r="K1019" s="1"/>
  <c r="H1019"/>
  <c r="E1019"/>
  <c r="J1018"/>
  <c r="K1018" s="1"/>
  <c r="I1018"/>
  <c r="H1018"/>
  <c r="E1018"/>
  <c r="K1017"/>
  <c r="J1017"/>
  <c r="I1017"/>
  <c r="H1017"/>
  <c r="E1017"/>
  <c r="K1016"/>
  <c r="J1016"/>
  <c r="I1016"/>
  <c r="H1016"/>
  <c r="E1016"/>
  <c r="J1015"/>
  <c r="I1015"/>
  <c r="K1015" s="1"/>
  <c r="H1015"/>
  <c r="E1015"/>
  <c r="J1014"/>
  <c r="K1014" s="1"/>
  <c r="I1014"/>
  <c r="H1014"/>
  <c r="E1014"/>
  <c r="K1013"/>
  <c r="J1013"/>
  <c r="I1013"/>
  <c r="H1013"/>
  <c r="E1013"/>
  <c r="K1012"/>
  <c r="J1012"/>
  <c r="I1012"/>
  <c r="H1012"/>
  <c r="E1012"/>
  <c r="J1011"/>
  <c r="I1011"/>
  <c r="K1011" s="1"/>
  <c r="H1011"/>
  <c r="E1011"/>
  <c r="J1010"/>
  <c r="K1010" s="1"/>
  <c r="I1010"/>
  <c r="H1010"/>
  <c r="E1010"/>
  <c r="K1009"/>
  <c r="J1009"/>
  <c r="I1009"/>
  <c r="H1009"/>
  <c r="E1009"/>
  <c r="K1008"/>
  <c r="J1008"/>
  <c r="I1008"/>
  <c r="H1008"/>
  <c r="E1008"/>
  <c r="J1007"/>
  <c r="I1007"/>
  <c r="K1007" s="1"/>
  <c r="H1007"/>
  <c r="E1007"/>
  <c r="J1006"/>
  <c r="K1006" s="1"/>
  <c r="I1006"/>
  <c r="H1006"/>
  <c r="E1006"/>
  <c r="K1005"/>
  <c r="J1005"/>
  <c r="I1005"/>
  <c r="H1005"/>
  <c r="E1005"/>
  <c r="K1004"/>
  <c r="J1004"/>
  <c r="I1004"/>
  <c r="H1004"/>
  <c r="E1004"/>
  <c r="J1003"/>
  <c r="I1003"/>
  <c r="K1003" s="1"/>
  <c r="H1003"/>
  <c r="E1003"/>
  <c r="J1002"/>
  <c r="K1002" s="1"/>
  <c r="I1002"/>
  <c r="H1002"/>
  <c r="E1002"/>
  <c r="K1001"/>
  <c r="J1001"/>
  <c r="I1001"/>
  <c r="H1001"/>
  <c r="E1001"/>
  <c r="K1000"/>
  <c r="J1000"/>
  <c r="I1000"/>
  <c r="H1000"/>
  <c r="E1000"/>
  <c r="J999"/>
  <c r="I999"/>
  <c r="K999" s="1"/>
  <c r="H999"/>
  <c r="E999"/>
  <c r="J998"/>
  <c r="K998" s="1"/>
  <c r="I998"/>
  <c r="H998"/>
  <c r="E998"/>
  <c r="K997"/>
  <c r="J997"/>
  <c r="I997"/>
  <c r="H997"/>
  <c r="E997"/>
  <c r="K996"/>
  <c r="J996"/>
  <c r="I996"/>
  <c r="H996"/>
  <c r="E996"/>
  <c r="J995"/>
  <c r="I995"/>
  <c r="K995" s="1"/>
  <c r="H995"/>
  <c r="E995"/>
  <c r="J994"/>
  <c r="I994"/>
  <c r="H994"/>
  <c r="E994"/>
  <c r="C992"/>
  <c r="C1191" s="1"/>
  <c r="F991"/>
  <c r="D991"/>
  <c r="E991" s="1"/>
  <c r="C991"/>
  <c r="J990"/>
  <c r="I990"/>
  <c r="K990" s="1"/>
  <c r="H990"/>
  <c r="E990"/>
  <c r="J989"/>
  <c r="K989" s="1"/>
  <c r="I989"/>
  <c r="H989"/>
  <c r="E989"/>
  <c r="K988"/>
  <c r="J988"/>
  <c r="I988"/>
  <c r="H988"/>
  <c r="E988"/>
  <c r="K987"/>
  <c r="J987"/>
  <c r="I987"/>
  <c r="H987"/>
  <c r="E987"/>
  <c r="J986"/>
  <c r="I986"/>
  <c r="K986" s="1"/>
  <c r="H986"/>
  <c r="E986"/>
  <c r="J985"/>
  <c r="K985" s="1"/>
  <c r="I985"/>
  <c r="H985"/>
  <c r="E985"/>
  <c r="K984"/>
  <c r="J984"/>
  <c r="I984"/>
  <c r="H984"/>
  <c r="E984"/>
  <c r="K983"/>
  <c r="J983"/>
  <c r="I983"/>
  <c r="H983"/>
  <c r="E983"/>
  <c r="J982"/>
  <c r="I982"/>
  <c r="K982" s="1"/>
  <c r="H982"/>
  <c r="E982"/>
  <c r="J981"/>
  <c r="K981" s="1"/>
  <c r="I981"/>
  <c r="H981"/>
  <c r="E981"/>
  <c r="K980"/>
  <c r="J980"/>
  <c r="I980"/>
  <c r="H980"/>
  <c r="E980"/>
  <c r="K979"/>
  <c r="J979"/>
  <c r="I979"/>
  <c r="H979"/>
  <c r="E979"/>
  <c r="J978"/>
  <c r="I978"/>
  <c r="K978" s="1"/>
  <c r="H978"/>
  <c r="E978"/>
  <c r="J977"/>
  <c r="K977" s="1"/>
  <c r="I977"/>
  <c r="H977"/>
  <c r="E977"/>
  <c r="K976"/>
  <c r="J976"/>
  <c r="I976"/>
  <c r="H976"/>
  <c r="E976"/>
  <c r="K975"/>
  <c r="J975"/>
  <c r="I975"/>
  <c r="H975"/>
  <c r="E975"/>
  <c r="J974"/>
  <c r="I974"/>
  <c r="K974" s="1"/>
  <c r="H974"/>
  <c r="E974"/>
  <c r="J973"/>
  <c r="K973" s="1"/>
  <c r="I973"/>
  <c r="H973"/>
  <c r="E973"/>
  <c r="K972"/>
  <c r="J972"/>
  <c r="I972"/>
  <c r="H972"/>
  <c r="E972"/>
  <c r="K971"/>
  <c r="J971"/>
  <c r="I971"/>
  <c r="H971"/>
  <c r="E971"/>
  <c r="J970"/>
  <c r="I970"/>
  <c r="K970" s="1"/>
  <c r="H970"/>
  <c r="E970"/>
  <c r="J969"/>
  <c r="K969" s="1"/>
  <c r="I969"/>
  <c r="H969"/>
  <c r="E969"/>
  <c r="K968"/>
  <c r="J968"/>
  <c r="I968"/>
  <c r="H968"/>
  <c r="E968"/>
  <c r="K967"/>
  <c r="J967"/>
  <c r="I967"/>
  <c r="H967"/>
  <c r="E967"/>
  <c r="J966"/>
  <c r="I966"/>
  <c r="K966" s="1"/>
  <c r="H966"/>
  <c r="E966"/>
  <c r="J965"/>
  <c r="K965" s="1"/>
  <c r="I965"/>
  <c r="H965"/>
  <c r="E965"/>
  <c r="K964"/>
  <c r="J964"/>
  <c r="I964"/>
  <c r="H964"/>
  <c r="E964"/>
  <c r="K963"/>
  <c r="J963"/>
  <c r="I963"/>
  <c r="H963"/>
  <c r="E963"/>
  <c r="J962"/>
  <c r="I962"/>
  <c r="K962" s="1"/>
  <c r="H962"/>
  <c r="E962"/>
  <c r="J961"/>
  <c r="K961" s="1"/>
  <c r="I961"/>
  <c r="H961"/>
  <c r="E961"/>
  <c r="K960"/>
  <c r="J960"/>
  <c r="I960"/>
  <c r="H960"/>
  <c r="E960"/>
  <c r="K959"/>
  <c r="J959"/>
  <c r="I959"/>
  <c r="H959"/>
  <c r="E959"/>
  <c r="J958"/>
  <c r="I958"/>
  <c r="K958" s="1"/>
  <c r="H958"/>
  <c r="E958"/>
  <c r="J957"/>
  <c r="K957" s="1"/>
  <c r="I957"/>
  <c r="H957"/>
  <c r="E957"/>
  <c r="K956"/>
  <c r="J956"/>
  <c r="I956"/>
  <c r="H956"/>
  <c r="E956"/>
  <c r="K955"/>
  <c r="J955"/>
  <c r="I955"/>
  <c r="H955"/>
  <c r="E955"/>
  <c r="J954"/>
  <c r="I954"/>
  <c r="K954" s="1"/>
  <c r="H954"/>
  <c r="E954"/>
  <c r="J953"/>
  <c r="K953" s="1"/>
  <c r="I953"/>
  <c r="H953"/>
  <c r="E953"/>
  <c r="K952"/>
  <c r="J952"/>
  <c r="I952"/>
  <c r="H952"/>
  <c r="E952"/>
  <c r="K951"/>
  <c r="J951"/>
  <c r="I951"/>
  <c r="H951"/>
  <c r="E951"/>
  <c r="J950"/>
  <c r="I950"/>
  <c r="K950" s="1"/>
  <c r="H950"/>
  <c r="E950"/>
  <c r="J949"/>
  <c r="K949" s="1"/>
  <c r="I949"/>
  <c r="H949"/>
  <c r="E949"/>
  <c r="K948"/>
  <c r="J948"/>
  <c r="I948"/>
  <c r="H948"/>
  <c r="E948"/>
  <c r="K947"/>
  <c r="J947"/>
  <c r="I947"/>
  <c r="H947"/>
  <c r="E947"/>
  <c r="J946"/>
  <c r="I946"/>
  <c r="K946" s="1"/>
  <c r="H946"/>
  <c r="E946"/>
  <c r="J945"/>
  <c r="K945" s="1"/>
  <c r="I945"/>
  <c r="H945"/>
  <c r="E945"/>
  <c r="K944"/>
  <c r="J944"/>
  <c r="I944"/>
  <c r="H944"/>
  <c r="E944"/>
  <c r="K943"/>
  <c r="J943"/>
  <c r="I943"/>
  <c r="H943"/>
  <c r="E943"/>
  <c r="J942"/>
  <c r="I942"/>
  <c r="K942" s="1"/>
  <c r="H942"/>
  <c r="E942"/>
  <c r="J941"/>
  <c r="K941" s="1"/>
  <c r="I941"/>
  <c r="H941"/>
  <c r="E941"/>
  <c r="K940"/>
  <c r="J940"/>
  <c r="I940"/>
  <c r="H940"/>
  <c r="E940"/>
  <c r="K939"/>
  <c r="J939"/>
  <c r="I939"/>
  <c r="H939"/>
  <c r="E939"/>
  <c r="J938"/>
  <c r="I938"/>
  <c r="K938" s="1"/>
  <c r="H938"/>
  <c r="E938"/>
  <c r="J937"/>
  <c r="K937" s="1"/>
  <c r="I937"/>
  <c r="H937"/>
  <c r="E937"/>
  <c r="K936"/>
  <c r="J936"/>
  <c r="I936"/>
  <c r="H936"/>
  <c r="E936"/>
  <c r="K935"/>
  <c r="J935"/>
  <c r="I935"/>
  <c r="H935"/>
  <c r="E935"/>
  <c r="J934"/>
  <c r="I934"/>
  <c r="K934" s="1"/>
  <c r="H934"/>
  <c r="E934"/>
  <c r="J933"/>
  <c r="K933" s="1"/>
  <c r="I933"/>
  <c r="H933"/>
  <c r="E933"/>
  <c r="I932"/>
  <c r="G932"/>
  <c r="G991" s="1"/>
  <c r="E932"/>
  <c r="J931"/>
  <c r="I931"/>
  <c r="K931" s="1"/>
  <c r="H931"/>
  <c r="E931"/>
  <c r="J930"/>
  <c r="K930" s="1"/>
  <c r="I930"/>
  <c r="H930"/>
  <c r="E930"/>
  <c r="K929"/>
  <c r="J929"/>
  <c r="I929"/>
  <c r="H929"/>
  <c r="E929"/>
  <c r="K928"/>
  <c r="J928"/>
  <c r="I928"/>
  <c r="H928"/>
  <c r="E928"/>
  <c r="J927"/>
  <c r="I927"/>
  <c r="K927" s="1"/>
  <c r="H927"/>
  <c r="E927"/>
  <c r="J926"/>
  <c r="K926" s="1"/>
  <c r="I926"/>
  <c r="H926"/>
  <c r="E926"/>
  <c r="K925"/>
  <c r="J925"/>
  <c r="I925"/>
  <c r="H925"/>
  <c r="E925"/>
  <c r="K924"/>
  <c r="J924"/>
  <c r="I924"/>
  <c r="H924"/>
  <c r="E924"/>
  <c r="J923"/>
  <c r="I923"/>
  <c r="K923" s="1"/>
  <c r="H923"/>
  <c r="E923"/>
  <c r="J922"/>
  <c r="K922" s="1"/>
  <c r="I922"/>
  <c r="H922"/>
  <c r="E922"/>
  <c r="K921"/>
  <c r="J921"/>
  <c r="I921"/>
  <c r="H921"/>
  <c r="E921"/>
  <c r="K920"/>
  <c r="J920"/>
  <c r="I920"/>
  <c r="H920"/>
  <c r="E920"/>
  <c r="J919"/>
  <c r="I919"/>
  <c r="K919" s="1"/>
  <c r="H919"/>
  <c r="E919"/>
  <c r="J918"/>
  <c r="K918" s="1"/>
  <c r="I918"/>
  <c r="H918"/>
  <c r="E918"/>
  <c r="K917"/>
  <c r="J917"/>
  <c r="I917"/>
  <c r="H917"/>
  <c r="E917"/>
  <c r="K916"/>
  <c r="J916"/>
  <c r="I916"/>
  <c r="H916"/>
  <c r="E916"/>
  <c r="J915"/>
  <c r="I915"/>
  <c r="K915" s="1"/>
  <c r="H915"/>
  <c r="E915"/>
  <c r="J914"/>
  <c r="K914" s="1"/>
  <c r="I914"/>
  <c r="H914"/>
  <c r="E914"/>
  <c r="K913"/>
  <c r="J913"/>
  <c r="I913"/>
  <c r="H913"/>
  <c r="E913"/>
  <c r="K912"/>
  <c r="J912"/>
  <c r="I912"/>
  <c r="H912"/>
  <c r="E912"/>
  <c r="J911"/>
  <c r="I911"/>
  <c r="K911" s="1"/>
  <c r="H911"/>
  <c r="E911"/>
  <c r="J910"/>
  <c r="K910" s="1"/>
  <c r="I910"/>
  <c r="H910"/>
  <c r="E910"/>
  <c r="K909"/>
  <c r="J909"/>
  <c r="I909"/>
  <c r="H909"/>
  <c r="E909"/>
  <c r="K908"/>
  <c r="J908"/>
  <c r="I908"/>
  <c r="H908"/>
  <c r="E908"/>
  <c r="J907"/>
  <c r="I907"/>
  <c r="K907" s="1"/>
  <c r="H907"/>
  <c r="E907"/>
  <c r="J906"/>
  <c r="K906" s="1"/>
  <c r="I906"/>
  <c r="H906"/>
  <c r="E906"/>
  <c r="K905"/>
  <c r="J905"/>
  <c r="I905"/>
  <c r="H905"/>
  <c r="E905"/>
  <c r="K904"/>
  <c r="J904"/>
  <c r="I904"/>
  <c r="H904"/>
  <c r="E904"/>
  <c r="J903"/>
  <c r="I903"/>
  <c r="K903" s="1"/>
  <c r="H903"/>
  <c r="E903"/>
  <c r="G901"/>
  <c r="F901"/>
  <c r="H901" s="1"/>
  <c r="E901"/>
  <c r="D901"/>
  <c r="D992" s="1"/>
  <c r="C901"/>
  <c r="K900"/>
  <c r="J900"/>
  <c r="I900"/>
  <c r="H900"/>
  <c r="E900"/>
  <c r="K899"/>
  <c r="J899"/>
  <c r="I899"/>
  <c r="H899"/>
  <c r="E899"/>
  <c r="J898"/>
  <c r="I898"/>
  <c r="K898" s="1"/>
  <c r="H898"/>
  <c r="E898"/>
  <c r="J897"/>
  <c r="K897" s="1"/>
  <c r="I897"/>
  <c r="H897"/>
  <c r="E897"/>
  <c r="K896"/>
  <c r="J896"/>
  <c r="I896"/>
  <c r="H896"/>
  <c r="E896"/>
  <c r="K895"/>
  <c r="J895"/>
  <c r="I895"/>
  <c r="H895"/>
  <c r="E895"/>
  <c r="J894"/>
  <c r="I894"/>
  <c r="K894" s="1"/>
  <c r="H894"/>
  <c r="E894"/>
  <c r="J893"/>
  <c r="K893" s="1"/>
  <c r="I893"/>
  <c r="H893"/>
  <c r="E893"/>
  <c r="K892"/>
  <c r="J892"/>
  <c r="I892"/>
  <c r="H892"/>
  <c r="E892"/>
  <c r="K891"/>
  <c r="J891"/>
  <c r="I891"/>
  <c r="H891"/>
  <c r="E891"/>
  <c r="J890"/>
  <c r="I890"/>
  <c r="K890" s="1"/>
  <c r="H890"/>
  <c r="E890"/>
  <c r="J889"/>
  <c r="K889" s="1"/>
  <c r="I889"/>
  <c r="H889"/>
  <c r="E889"/>
  <c r="K888"/>
  <c r="J888"/>
  <c r="I888"/>
  <c r="H888"/>
  <c r="E888"/>
  <c r="K887"/>
  <c r="J887"/>
  <c r="I887"/>
  <c r="H887"/>
  <c r="E887"/>
  <c r="J886"/>
  <c r="I886"/>
  <c r="K886" s="1"/>
  <c r="H886"/>
  <c r="E886"/>
  <c r="J885"/>
  <c r="K885" s="1"/>
  <c r="I885"/>
  <c r="H885"/>
  <c r="E885"/>
  <c r="K884"/>
  <c r="J884"/>
  <c r="I884"/>
  <c r="H884"/>
  <c r="E884"/>
  <c r="K883"/>
  <c r="J883"/>
  <c r="I883"/>
  <c r="H883"/>
  <c r="E883"/>
  <c r="J882"/>
  <c r="I882"/>
  <c r="K882" s="1"/>
  <c r="H882"/>
  <c r="E882"/>
  <c r="J881"/>
  <c r="K881" s="1"/>
  <c r="I881"/>
  <c r="H881"/>
  <c r="E881"/>
  <c r="K880"/>
  <c r="J880"/>
  <c r="I880"/>
  <c r="H880"/>
  <c r="E880"/>
  <c r="K879"/>
  <c r="J879"/>
  <c r="I879"/>
  <c r="H879"/>
  <c r="E879"/>
  <c r="J878"/>
  <c r="I878"/>
  <c r="K878" s="1"/>
  <c r="H878"/>
  <c r="E878"/>
  <c r="J877"/>
  <c r="K877" s="1"/>
  <c r="I877"/>
  <c r="H877"/>
  <c r="E877"/>
  <c r="K876"/>
  <c r="J876"/>
  <c r="I876"/>
  <c r="H876"/>
  <c r="E876"/>
  <c r="K875"/>
  <c r="J875"/>
  <c r="I875"/>
  <c r="H875"/>
  <c r="E875"/>
  <c r="J874"/>
  <c r="I874"/>
  <c r="K874" s="1"/>
  <c r="H874"/>
  <c r="E874"/>
  <c r="J873"/>
  <c r="K873" s="1"/>
  <c r="I873"/>
  <c r="H873"/>
  <c r="E873"/>
  <c r="K872"/>
  <c r="J872"/>
  <c r="I872"/>
  <c r="H872"/>
  <c r="E872"/>
  <c r="K871"/>
  <c r="J871"/>
  <c r="I871"/>
  <c r="H871"/>
  <c r="E871"/>
  <c r="J870"/>
  <c r="I870"/>
  <c r="K870" s="1"/>
  <c r="H870"/>
  <c r="E870"/>
  <c r="J869"/>
  <c r="K869" s="1"/>
  <c r="I869"/>
  <c r="H869"/>
  <c r="E869"/>
  <c r="K868"/>
  <c r="J868"/>
  <c r="I868"/>
  <c r="H868"/>
  <c r="E868"/>
  <c r="K867"/>
  <c r="J867"/>
  <c r="I867"/>
  <c r="H867"/>
  <c r="E867"/>
  <c r="J866"/>
  <c r="I866"/>
  <c r="K866" s="1"/>
  <c r="H866"/>
  <c r="E866"/>
  <c r="J865"/>
  <c r="K865" s="1"/>
  <c r="I865"/>
  <c r="H865"/>
  <c r="E865"/>
  <c r="K864"/>
  <c r="J864"/>
  <c r="I864"/>
  <c r="H864"/>
  <c r="E864"/>
  <c r="K863"/>
  <c r="J863"/>
  <c r="I863"/>
  <c r="H863"/>
  <c r="E863"/>
  <c r="J862"/>
  <c r="I862"/>
  <c r="K862" s="1"/>
  <c r="H862"/>
  <c r="E862"/>
  <c r="J861"/>
  <c r="K861" s="1"/>
  <c r="I861"/>
  <c r="H861"/>
  <c r="E861"/>
  <c r="K860"/>
  <c r="J860"/>
  <c r="I860"/>
  <c r="H860"/>
  <c r="E860"/>
  <c r="K859"/>
  <c r="J859"/>
  <c r="I859"/>
  <c r="H859"/>
  <c r="E859"/>
  <c r="J858"/>
  <c r="I858"/>
  <c r="K858" s="1"/>
  <c r="H858"/>
  <c r="E858"/>
  <c r="J857"/>
  <c r="K857" s="1"/>
  <c r="I857"/>
  <c r="H857"/>
  <c r="E857"/>
  <c r="K856"/>
  <c r="J856"/>
  <c r="I856"/>
  <c r="H856"/>
  <c r="E856"/>
  <c r="K855"/>
  <c r="J855"/>
  <c r="I855"/>
  <c r="H855"/>
  <c r="E855"/>
  <c r="J854"/>
  <c r="I854"/>
  <c r="K854" s="1"/>
  <c r="H854"/>
  <c r="E854"/>
  <c r="J853"/>
  <c r="K853" s="1"/>
  <c r="I853"/>
  <c r="H853"/>
  <c r="E853"/>
  <c r="K852"/>
  <c r="J852"/>
  <c r="I852"/>
  <c r="H852"/>
  <c r="E852"/>
  <c r="K851"/>
  <c r="J851"/>
  <c r="I851"/>
  <c r="H851"/>
  <c r="E851"/>
  <c r="J850"/>
  <c r="I850"/>
  <c r="K850" s="1"/>
  <c r="H850"/>
  <c r="E850"/>
  <c r="J849"/>
  <c r="K849" s="1"/>
  <c r="I849"/>
  <c r="H849"/>
  <c r="E849"/>
  <c r="K848"/>
  <c r="J848"/>
  <c r="I848"/>
  <c r="H848"/>
  <c r="E848"/>
  <c r="K847"/>
  <c r="J847"/>
  <c r="I847"/>
  <c r="H847"/>
  <c r="E847"/>
  <c r="J846"/>
  <c r="I846"/>
  <c r="K846" s="1"/>
  <c r="H846"/>
  <c r="E846"/>
  <c r="J845"/>
  <c r="K845" s="1"/>
  <c r="I845"/>
  <c r="H845"/>
  <c r="E845"/>
  <c r="K844"/>
  <c r="J844"/>
  <c r="I844"/>
  <c r="H844"/>
  <c r="E844"/>
  <c r="K843"/>
  <c r="J843"/>
  <c r="I843"/>
  <c r="H843"/>
  <c r="E843"/>
  <c r="J842"/>
  <c r="I842"/>
  <c r="K842" s="1"/>
  <c r="H842"/>
  <c r="E842"/>
  <c r="J841"/>
  <c r="K841" s="1"/>
  <c r="I841"/>
  <c r="I901" s="1"/>
  <c r="H841"/>
  <c r="E841"/>
  <c r="K840"/>
  <c r="J840"/>
  <c r="I840"/>
  <c r="H840"/>
  <c r="E840"/>
  <c r="C827"/>
  <c r="H826"/>
  <c r="G826"/>
  <c r="F826"/>
  <c r="D826"/>
  <c r="C826"/>
  <c r="C828" s="1"/>
  <c r="K825"/>
  <c r="J825"/>
  <c r="I825"/>
  <c r="H825"/>
  <c r="K824"/>
  <c r="J824"/>
  <c r="I824"/>
  <c r="H824"/>
  <c r="K823"/>
  <c r="J823"/>
  <c r="I823"/>
  <c r="H823"/>
  <c r="K822"/>
  <c r="J822"/>
  <c r="I822"/>
  <c r="H822"/>
  <c r="K821"/>
  <c r="J821"/>
  <c r="I821"/>
  <c r="H821"/>
  <c r="K820"/>
  <c r="J820"/>
  <c r="I820"/>
  <c r="H820"/>
  <c r="K819"/>
  <c r="J819"/>
  <c r="I819"/>
  <c r="H819"/>
  <c r="K818"/>
  <c r="J818"/>
  <c r="I818"/>
  <c r="H818"/>
  <c r="K817"/>
  <c r="J817"/>
  <c r="I817"/>
  <c r="H817"/>
  <c r="K816"/>
  <c r="J816"/>
  <c r="I816"/>
  <c r="H816"/>
  <c r="K815"/>
  <c r="J815"/>
  <c r="I815"/>
  <c r="H815"/>
  <c r="K814"/>
  <c r="J814"/>
  <c r="I814"/>
  <c r="H814"/>
  <c r="K813"/>
  <c r="J813"/>
  <c r="I813"/>
  <c r="H813"/>
  <c r="K812"/>
  <c r="J812"/>
  <c r="I812"/>
  <c r="H812"/>
  <c r="K811"/>
  <c r="J811"/>
  <c r="I811"/>
  <c r="H811"/>
  <c r="K810"/>
  <c r="J810"/>
  <c r="I810"/>
  <c r="H810"/>
  <c r="K809"/>
  <c r="J809"/>
  <c r="I809"/>
  <c r="H809"/>
  <c r="K808"/>
  <c r="J808"/>
  <c r="I808"/>
  <c r="H808"/>
  <c r="K807"/>
  <c r="J807"/>
  <c r="I807"/>
  <c r="H807"/>
  <c r="K806"/>
  <c r="J806"/>
  <c r="I806"/>
  <c r="H806"/>
  <c r="K805"/>
  <c r="J805"/>
  <c r="I805"/>
  <c r="H805"/>
  <c r="K804"/>
  <c r="J804"/>
  <c r="I804"/>
  <c r="H804"/>
  <c r="K803"/>
  <c r="J803"/>
  <c r="I803"/>
  <c r="H803"/>
  <c r="K802"/>
  <c r="J802"/>
  <c r="I802"/>
  <c r="H802"/>
  <c r="K801"/>
  <c r="J801"/>
  <c r="J826" s="1"/>
  <c r="I801"/>
  <c r="I826" s="1"/>
  <c r="H801"/>
  <c r="F799"/>
  <c r="F827" s="1"/>
  <c r="D799"/>
  <c r="C799"/>
  <c r="J798"/>
  <c r="I798"/>
  <c r="K798" s="1"/>
  <c r="H798"/>
  <c r="E798"/>
  <c r="J797"/>
  <c r="K797" s="1"/>
  <c r="I797"/>
  <c r="H797"/>
  <c r="E797"/>
  <c r="K796"/>
  <c r="J796"/>
  <c r="I796"/>
  <c r="H796"/>
  <c r="E796"/>
  <c r="K795"/>
  <c r="J795"/>
  <c r="I795"/>
  <c r="H795"/>
  <c r="E795"/>
  <c r="K794"/>
  <c r="J794"/>
  <c r="H794"/>
  <c r="E794"/>
  <c r="J793"/>
  <c r="I793"/>
  <c r="K793" s="1"/>
  <c r="H793"/>
  <c r="E793"/>
  <c r="J792"/>
  <c r="K792" s="1"/>
  <c r="I792"/>
  <c r="H792"/>
  <c r="E792"/>
  <c r="K791"/>
  <c r="J791"/>
  <c r="I791"/>
  <c r="H791"/>
  <c r="E791"/>
  <c r="K790"/>
  <c r="J790"/>
  <c r="I790"/>
  <c r="H790"/>
  <c r="E790"/>
  <c r="J789"/>
  <c r="I789"/>
  <c r="K789" s="1"/>
  <c r="H789"/>
  <c r="E789"/>
  <c r="J788"/>
  <c r="K788" s="1"/>
  <c r="I788"/>
  <c r="H788"/>
  <c r="E788"/>
  <c r="I787"/>
  <c r="G787"/>
  <c r="G799" s="1"/>
  <c r="E787"/>
  <c r="J786"/>
  <c r="I786"/>
  <c r="K786" s="1"/>
  <c r="H786"/>
  <c r="E786"/>
  <c r="J785"/>
  <c r="K785" s="1"/>
  <c r="I785"/>
  <c r="H785"/>
  <c r="E785"/>
  <c r="K784"/>
  <c r="J784"/>
  <c r="I784"/>
  <c r="H784"/>
  <c r="E784"/>
  <c r="K783"/>
  <c r="J783"/>
  <c r="I783"/>
  <c r="H783"/>
  <c r="E783"/>
  <c r="J782"/>
  <c r="I782"/>
  <c r="K782" s="1"/>
  <c r="H782"/>
  <c r="E782"/>
  <c r="J781"/>
  <c r="K781" s="1"/>
  <c r="I781"/>
  <c r="H781"/>
  <c r="E781"/>
  <c r="K780"/>
  <c r="J780"/>
  <c r="I780"/>
  <c r="H780"/>
  <c r="E780"/>
  <c r="K779"/>
  <c r="J779"/>
  <c r="I779"/>
  <c r="H779"/>
  <c r="E779"/>
  <c r="J778"/>
  <c r="I778"/>
  <c r="K778" s="1"/>
  <c r="H778"/>
  <c r="E778"/>
  <c r="J777"/>
  <c r="K777" s="1"/>
  <c r="I777"/>
  <c r="H777"/>
  <c r="E777"/>
  <c r="K776"/>
  <c r="J776"/>
  <c r="I776"/>
  <c r="H776"/>
  <c r="E776"/>
  <c r="K775"/>
  <c r="J775"/>
  <c r="I775"/>
  <c r="H775"/>
  <c r="E775"/>
  <c r="J774"/>
  <c r="I774"/>
  <c r="K774" s="1"/>
  <c r="H774"/>
  <c r="E774"/>
  <c r="J773"/>
  <c r="K773" s="1"/>
  <c r="H773"/>
  <c r="E773"/>
  <c r="J772"/>
  <c r="K772" s="1"/>
  <c r="I772"/>
  <c r="H772"/>
  <c r="E772"/>
  <c r="K771"/>
  <c r="J771"/>
  <c r="I771"/>
  <c r="H771"/>
  <c r="E771"/>
  <c r="K770"/>
  <c r="J770"/>
  <c r="I770"/>
  <c r="H770"/>
  <c r="E770"/>
  <c r="J769"/>
  <c r="I769"/>
  <c r="K769" s="1"/>
  <c r="H769"/>
  <c r="E769"/>
  <c r="J768"/>
  <c r="K768" s="1"/>
  <c r="I768"/>
  <c r="H768"/>
  <c r="E768"/>
  <c r="K767"/>
  <c r="J767"/>
  <c r="I767"/>
  <c r="H767"/>
  <c r="E767"/>
  <c r="K766"/>
  <c r="J766"/>
  <c r="I766"/>
  <c r="H766"/>
  <c r="E766"/>
  <c r="J765"/>
  <c r="I765"/>
  <c r="K765" s="1"/>
  <c r="H765"/>
  <c r="E765"/>
  <c r="J764"/>
  <c r="K764" s="1"/>
  <c r="I764"/>
  <c r="H764"/>
  <c r="E764"/>
  <c r="K763"/>
  <c r="J763"/>
  <c r="I763"/>
  <c r="H763"/>
  <c r="E763"/>
  <c r="K762"/>
  <c r="J762"/>
  <c r="I762"/>
  <c r="H762"/>
  <c r="E762"/>
  <c r="J761"/>
  <c r="I761"/>
  <c r="K761" s="1"/>
  <c r="H761"/>
  <c r="E761"/>
  <c r="J760"/>
  <c r="K760" s="1"/>
  <c r="I760"/>
  <c r="H760"/>
  <c r="E760"/>
  <c r="K759"/>
  <c r="J759"/>
  <c r="H759"/>
  <c r="E759"/>
  <c r="K758"/>
  <c r="J758"/>
  <c r="I758"/>
  <c r="H758"/>
  <c r="E758"/>
  <c r="K757"/>
  <c r="J757"/>
  <c r="I757"/>
  <c r="H757"/>
  <c r="E757"/>
  <c r="J756"/>
  <c r="I756"/>
  <c r="K756" s="1"/>
  <c r="H756"/>
  <c r="E756"/>
  <c r="J755"/>
  <c r="K755" s="1"/>
  <c r="I755"/>
  <c r="H755"/>
  <c r="E755"/>
  <c r="K754"/>
  <c r="J754"/>
  <c r="I754"/>
  <c r="H754"/>
  <c r="E754"/>
  <c r="K753"/>
  <c r="J753"/>
  <c r="I753"/>
  <c r="H753"/>
  <c r="E753"/>
  <c r="J752"/>
  <c r="I752"/>
  <c r="K752" s="1"/>
  <c r="H752"/>
  <c r="E752"/>
  <c r="J751"/>
  <c r="K751" s="1"/>
  <c r="I751"/>
  <c r="H751"/>
  <c r="E751"/>
  <c r="K750"/>
  <c r="J750"/>
  <c r="I750"/>
  <c r="H750"/>
  <c r="E750"/>
  <c r="K749"/>
  <c r="J749"/>
  <c r="I749"/>
  <c r="H749"/>
  <c r="E749"/>
  <c r="J748"/>
  <c r="I748"/>
  <c r="K748" s="1"/>
  <c r="H748"/>
  <c r="E748"/>
  <c r="J747"/>
  <c r="K747" s="1"/>
  <c r="I747"/>
  <c r="H747"/>
  <c r="E747"/>
  <c r="K746"/>
  <c r="J746"/>
  <c r="I746"/>
  <c r="H746"/>
  <c r="E746"/>
  <c r="K745"/>
  <c r="J745"/>
  <c r="I745"/>
  <c r="H745"/>
  <c r="E745"/>
  <c r="J744"/>
  <c r="I744"/>
  <c r="K744" s="1"/>
  <c r="H744"/>
  <c r="E744"/>
  <c r="J743"/>
  <c r="K743" s="1"/>
  <c r="I743"/>
  <c r="H743"/>
  <c r="E743"/>
  <c r="K742"/>
  <c r="J742"/>
  <c r="I742"/>
  <c r="H742"/>
  <c r="E742"/>
  <c r="K741"/>
  <c r="J741"/>
  <c r="I741"/>
  <c r="H741"/>
  <c r="E741"/>
  <c r="J740"/>
  <c r="I740"/>
  <c r="K740" s="1"/>
  <c r="H740"/>
  <c r="E740"/>
  <c r="J739"/>
  <c r="K739" s="1"/>
  <c r="I739"/>
  <c r="H739"/>
  <c r="E739"/>
  <c r="K738"/>
  <c r="J738"/>
  <c r="I738"/>
  <c r="I799" s="1"/>
  <c r="I827" s="1"/>
  <c r="H738"/>
  <c r="E738"/>
  <c r="K737"/>
  <c r="J737"/>
  <c r="H737"/>
  <c r="E737"/>
  <c r="K736"/>
  <c r="J736"/>
  <c r="H736"/>
  <c r="E736"/>
  <c r="K735"/>
  <c r="J735"/>
  <c r="H735"/>
  <c r="E735"/>
  <c r="H721"/>
  <c r="G721"/>
  <c r="G723" s="1"/>
  <c r="F721"/>
  <c r="C721"/>
  <c r="K720"/>
  <c r="J720"/>
  <c r="I720"/>
  <c r="H720"/>
  <c r="K719"/>
  <c r="J719"/>
  <c r="I719"/>
  <c r="H719"/>
  <c r="K718"/>
  <c r="J718"/>
  <c r="I718"/>
  <c r="H718"/>
  <c r="K717"/>
  <c r="J717"/>
  <c r="I717"/>
  <c r="H717"/>
  <c r="K716"/>
  <c r="J716"/>
  <c r="I716"/>
  <c r="H716"/>
  <c r="K715"/>
  <c r="J715"/>
  <c r="I715"/>
  <c r="H715"/>
  <c r="K714"/>
  <c r="J714"/>
  <c r="I714"/>
  <c r="H714"/>
  <c r="K713"/>
  <c r="J713"/>
  <c r="I713"/>
  <c r="H713"/>
  <c r="K712"/>
  <c r="J712"/>
  <c r="I712"/>
  <c r="H712"/>
  <c r="K711"/>
  <c r="J711"/>
  <c r="I711"/>
  <c r="H711"/>
  <c r="K710"/>
  <c r="J710"/>
  <c r="I710"/>
  <c r="H710"/>
  <c r="K709"/>
  <c r="J709"/>
  <c r="I709"/>
  <c r="H709"/>
  <c r="K708"/>
  <c r="J708"/>
  <c r="I708"/>
  <c r="H708"/>
  <c r="K707"/>
  <c r="J707"/>
  <c r="I707"/>
  <c r="H707"/>
  <c r="K706"/>
  <c r="J706"/>
  <c r="I706"/>
  <c r="H706"/>
  <c r="K705"/>
  <c r="J705"/>
  <c r="I705"/>
  <c r="H705"/>
  <c r="K704"/>
  <c r="J704"/>
  <c r="I704"/>
  <c r="H704"/>
  <c r="K703"/>
  <c r="J703"/>
  <c r="J721" s="1"/>
  <c r="I703"/>
  <c r="I721" s="1"/>
  <c r="H703"/>
  <c r="G701"/>
  <c r="G722" s="1"/>
  <c r="F701"/>
  <c r="F722" s="1"/>
  <c r="F723" s="1"/>
  <c r="D701"/>
  <c r="C701"/>
  <c r="E701" s="1"/>
  <c r="K700"/>
  <c r="J700"/>
  <c r="I700"/>
  <c r="H700"/>
  <c r="E700"/>
  <c r="J699"/>
  <c r="I699"/>
  <c r="K699" s="1"/>
  <c r="H699"/>
  <c r="E699"/>
  <c r="J698"/>
  <c r="K698" s="1"/>
  <c r="I698"/>
  <c r="H698"/>
  <c r="E698"/>
  <c r="K697"/>
  <c r="J697"/>
  <c r="I697"/>
  <c r="H697"/>
  <c r="E697"/>
  <c r="K696"/>
  <c r="J696"/>
  <c r="I696"/>
  <c r="H696"/>
  <c r="E696"/>
  <c r="J695"/>
  <c r="I695"/>
  <c r="K695" s="1"/>
  <c r="H695"/>
  <c r="E695"/>
  <c r="J694"/>
  <c r="K694" s="1"/>
  <c r="I694"/>
  <c r="H694"/>
  <c r="E694"/>
  <c r="K693"/>
  <c r="J693"/>
  <c r="I693"/>
  <c r="H693"/>
  <c r="E693"/>
  <c r="K692"/>
  <c r="J692"/>
  <c r="I692"/>
  <c r="H692"/>
  <c r="E692"/>
  <c r="J691"/>
  <c r="I691"/>
  <c r="K691" s="1"/>
  <c r="H691"/>
  <c r="E691"/>
  <c r="J690"/>
  <c r="K690" s="1"/>
  <c r="I690"/>
  <c r="H690"/>
  <c r="E690"/>
  <c r="K689"/>
  <c r="J689"/>
  <c r="I689"/>
  <c r="H689"/>
  <c r="E689"/>
  <c r="K688"/>
  <c r="J688"/>
  <c r="I688"/>
  <c r="H688"/>
  <c r="E688"/>
  <c r="J687"/>
  <c r="I687"/>
  <c r="K687" s="1"/>
  <c r="H687"/>
  <c r="E687"/>
  <c r="J686"/>
  <c r="K686" s="1"/>
  <c r="I686"/>
  <c r="H686"/>
  <c r="E686"/>
  <c r="K685"/>
  <c r="J685"/>
  <c r="I685"/>
  <c r="H685"/>
  <c r="E685"/>
  <c r="K684"/>
  <c r="J684"/>
  <c r="I684"/>
  <c r="H684"/>
  <c r="E684"/>
  <c r="J683"/>
  <c r="I683"/>
  <c r="K683" s="1"/>
  <c r="H683"/>
  <c r="E683"/>
  <c r="J682"/>
  <c r="K682" s="1"/>
  <c r="I682"/>
  <c r="H682"/>
  <c r="E682"/>
  <c r="K681"/>
  <c r="J681"/>
  <c r="I681"/>
  <c r="H681"/>
  <c r="E681"/>
  <c r="K680"/>
  <c r="J680"/>
  <c r="I680"/>
  <c r="H680"/>
  <c r="E680"/>
  <c r="J679"/>
  <c r="I679"/>
  <c r="K679" s="1"/>
  <c r="H679"/>
  <c r="E679"/>
  <c r="J678"/>
  <c r="K678" s="1"/>
  <c r="I678"/>
  <c r="H678"/>
  <c r="E678"/>
  <c r="K677"/>
  <c r="J677"/>
  <c r="I677"/>
  <c r="H677"/>
  <c r="E677"/>
  <c r="K676"/>
  <c r="J676"/>
  <c r="I676"/>
  <c r="H676"/>
  <c r="E676"/>
  <c r="J675"/>
  <c r="I675"/>
  <c r="K675" s="1"/>
  <c r="H675"/>
  <c r="E675"/>
  <c r="J674"/>
  <c r="K674" s="1"/>
  <c r="I674"/>
  <c r="H674"/>
  <c r="E674"/>
  <c r="K673"/>
  <c r="J673"/>
  <c r="I673"/>
  <c r="H673"/>
  <c r="E673"/>
  <c r="K672"/>
  <c r="J672"/>
  <c r="I672"/>
  <c r="H672"/>
  <c r="E672"/>
  <c r="J671"/>
  <c r="I671"/>
  <c r="K671" s="1"/>
  <c r="H671"/>
  <c r="E671"/>
  <c r="J670"/>
  <c r="K670" s="1"/>
  <c r="I670"/>
  <c r="H670"/>
  <c r="E670"/>
  <c r="K669"/>
  <c r="J669"/>
  <c r="I669"/>
  <c r="H669"/>
  <c r="E669"/>
  <c r="K668"/>
  <c r="J668"/>
  <c r="I668"/>
  <c r="H668"/>
  <c r="E668"/>
  <c r="J667"/>
  <c r="I667"/>
  <c r="K667" s="1"/>
  <c r="H667"/>
  <c r="E667"/>
  <c r="J666"/>
  <c r="K666" s="1"/>
  <c r="I666"/>
  <c r="H666"/>
  <c r="E666"/>
  <c r="K665"/>
  <c r="J665"/>
  <c r="I665"/>
  <c r="H665"/>
  <c r="E665"/>
  <c r="K664"/>
  <c r="J664"/>
  <c r="I664"/>
  <c r="H664"/>
  <c r="E664"/>
  <c r="J663"/>
  <c r="I663"/>
  <c r="K663" s="1"/>
  <c r="H663"/>
  <c r="E663"/>
  <c r="J662"/>
  <c r="K662" s="1"/>
  <c r="I662"/>
  <c r="H662"/>
  <c r="E662"/>
  <c r="K661"/>
  <c r="J661"/>
  <c r="I661"/>
  <c r="H661"/>
  <c r="E661"/>
  <c r="K660"/>
  <c r="J660"/>
  <c r="I660"/>
  <c r="H660"/>
  <c r="E660"/>
  <c r="J659"/>
  <c r="I659"/>
  <c r="K659" s="1"/>
  <c r="H659"/>
  <c r="E659"/>
  <c r="J658"/>
  <c r="K658" s="1"/>
  <c r="I658"/>
  <c r="H658"/>
  <c r="E658"/>
  <c r="K657"/>
  <c r="J657"/>
  <c r="I657"/>
  <c r="H657"/>
  <c r="E657"/>
  <c r="K656"/>
  <c r="J656"/>
  <c r="I656"/>
  <c r="H656"/>
  <c r="E656"/>
  <c r="J655"/>
  <c r="I655"/>
  <c r="K655" s="1"/>
  <c r="H655"/>
  <c r="E655"/>
  <c r="J654"/>
  <c r="K654" s="1"/>
  <c r="I654"/>
  <c r="H654"/>
  <c r="E654"/>
  <c r="K653"/>
  <c r="J653"/>
  <c r="I653"/>
  <c r="H653"/>
  <c r="E653"/>
  <c r="K652"/>
  <c r="J652"/>
  <c r="I652"/>
  <c r="H652"/>
  <c r="E652"/>
  <c r="J651"/>
  <c r="I651"/>
  <c r="K651" s="1"/>
  <c r="H651"/>
  <c r="E651"/>
  <c r="J650"/>
  <c r="K650" s="1"/>
  <c r="I650"/>
  <c r="H650"/>
  <c r="E650"/>
  <c r="K649"/>
  <c r="J649"/>
  <c r="I649"/>
  <c r="H649"/>
  <c r="E649"/>
  <c r="K648"/>
  <c r="J648"/>
  <c r="I648"/>
  <c r="H648"/>
  <c r="E648"/>
  <c r="J647"/>
  <c r="I647"/>
  <c r="K647" s="1"/>
  <c r="H647"/>
  <c r="E647"/>
  <c r="J646"/>
  <c r="K646" s="1"/>
  <c r="I646"/>
  <c r="H646"/>
  <c r="E646"/>
  <c r="K645"/>
  <c r="J645"/>
  <c r="I645"/>
  <c r="H645"/>
  <c r="E645"/>
  <c r="K644"/>
  <c r="J644"/>
  <c r="I644"/>
  <c r="I701" s="1"/>
  <c r="I722" s="1"/>
  <c r="H644"/>
  <c r="E644"/>
  <c r="I630"/>
  <c r="H630"/>
  <c r="G630"/>
  <c r="F630"/>
  <c r="E630"/>
  <c r="D630"/>
  <c r="C630"/>
  <c r="J629"/>
  <c r="K629" s="1"/>
  <c r="I629"/>
  <c r="H629"/>
  <c r="J628"/>
  <c r="K628" s="1"/>
  <c r="I628"/>
  <c r="H628"/>
  <c r="J627"/>
  <c r="K627" s="1"/>
  <c r="I627"/>
  <c r="H627"/>
  <c r="J626"/>
  <c r="K626" s="1"/>
  <c r="I626"/>
  <c r="H626"/>
  <c r="J625"/>
  <c r="K625" s="1"/>
  <c r="I625"/>
  <c r="H625"/>
  <c r="J624"/>
  <c r="K624" s="1"/>
  <c r="I624"/>
  <c r="H624"/>
  <c r="J623"/>
  <c r="K623" s="1"/>
  <c r="I623"/>
  <c r="H623"/>
  <c r="J622"/>
  <c r="K622" s="1"/>
  <c r="I622"/>
  <c r="H622"/>
  <c r="J621"/>
  <c r="K621" s="1"/>
  <c r="I621"/>
  <c r="H621"/>
  <c r="J620"/>
  <c r="K620" s="1"/>
  <c r="I620"/>
  <c r="H620"/>
  <c r="J619"/>
  <c r="K619" s="1"/>
  <c r="I619"/>
  <c r="H619"/>
  <c r="J618"/>
  <c r="K618" s="1"/>
  <c r="I618"/>
  <c r="H618"/>
  <c r="J617"/>
  <c r="K617" s="1"/>
  <c r="I617"/>
  <c r="H617"/>
  <c r="J616"/>
  <c r="K616" s="1"/>
  <c r="I616"/>
  <c r="H616"/>
  <c r="J615"/>
  <c r="K615" s="1"/>
  <c r="I615"/>
  <c r="H615"/>
  <c r="J614"/>
  <c r="K614" s="1"/>
  <c r="I614"/>
  <c r="H614"/>
  <c r="J613"/>
  <c r="K613" s="1"/>
  <c r="I613"/>
  <c r="H613"/>
  <c r="J612"/>
  <c r="K612" s="1"/>
  <c r="I612"/>
  <c r="H612"/>
  <c r="J611"/>
  <c r="K611" s="1"/>
  <c r="I611"/>
  <c r="H611"/>
  <c r="J610"/>
  <c r="K610" s="1"/>
  <c r="I610"/>
  <c r="H610"/>
  <c r="J609"/>
  <c r="K609" s="1"/>
  <c r="I609"/>
  <c r="H609"/>
  <c r="J608"/>
  <c r="K608" s="1"/>
  <c r="I608"/>
  <c r="H608"/>
  <c r="J607"/>
  <c r="K607" s="1"/>
  <c r="I607"/>
  <c r="H607"/>
  <c r="J606"/>
  <c r="K606" s="1"/>
  <c r="I606"/>
  <c r="H606"/>
  <c r="J605"/>
  <c r="K605" s="1"/>
  <c r="I605"/>
  <c r="H605"/>
  <c r="J604"/>
  <c r="K604" s="1"/>
  <c r="I604"/>
  <c r="H604"/>
  <c r="J603"/>
  <c r="K603" s="1"/>
  <c r="I603"/>
  <c r="H603"/>
  <c r="J602"/>
  <c r="K602" s="1"/>
  <c r="I602"/>
  <c r="H602"/>
  <c r="J601"/>
  <c r="K601" s="1"/>
  <c r="I601"/>
  <c r="H601"/>
  <c r="J600"/>
  <c r="K600" s="1"/>
  <c r="I600"/>
  <c r="H600"/>
  <c r="J599"/>
  <c r="K599" s="1"/>
  <c r="I599"/>
  <c r="H599"/>
  <c r="J598"/>
  <c r="K598" s="1"/>
  <c r="I598"/>
  <c r="H598"/>
  <c r="J597"/>
  <c r="K597" s="1"/>
  <c r="I597"/>
  <c r="H597"/>
  <c r="J596"/>
  <c r="K596" s="1"/>
  <c r="I596"/>
  <c r="H596"/>
  <c r="J595"/>
  <c r="K595" s="1"/>
  <c r="I595"/>
  <c r="H595"/>
  <c r="J594"/>
  <c r="K594" s="1"/>
  <c r="I594"/>
  <c r="H594"/>
  <c r="J593"/>
  <c r="K593" s="1"/>
  <c r="I593"/>
  <c r="H593"/>
  <c r="J592"/>
  <c r="K592" s="1"/>
  <c r="I592"/>
  <c r="H592"/>
  <c r="J591"/>
  <c r="K591" s="1"/>
  <c r="I591"/>
  <c r="H591"/>
  <c r="J590"/>
  <c r="K590" s="1"/>
  <c r="I590"/>
  <c r="H590"/>
  <c r="J589"/>
  <c r="K589" s="1"/>
  <c r="I589"/>
  <c r="H589"/>
  <c r="J588"/>
  <c r="K588" s="1"/>
  <c r="I588"/>
  <c r="H588"/>
  <c r="J587"/>
  <c r="K587" s="1"/>
  <c r="I587"/>
  <c r="H587"/>
  <c r="J586"/>
  <c r="K586" s="1"/>
  <c r="I586"/>
  <c r="H586"/>
  <c r="J585"/>
  <c r="K585" s="1"/>
  <c r="I585"/>
  <c r="H585"/>
  <c r="J584"/>
  <c r="K584" s="1"/>
  <c r="I584"/>
  <c r="H584"/>
  <c r="J583"/>
  <c r="K583" s="1"/>
  <c r="I583"/>
  <c r="H583"/>
  <c r="J582"/>
  <c r="K582" s="1"/>
  <c r="I582"/>
  <c r="H582"/>
  <c r="J581"/>
  <c r="K581" s="1"/>
  <c r="I581"/>
  <c r="H581"/>
  <c r="J580"/>
  <c r="K580" s="1"/>
  <c r="I580"/>
  <c r="H580"/>
  <c r="J579"/>
  <c r="K579" s="1"/>
  <c r="I579"/>
  <c r="H579"/>
  <c r="J578"/>
  <c r="K578" s="1"/>
  <c r="I578"/>
  <c r="H578"/>
  <c r="J577"/>
  <c r="K577" s="1"/>
  <c r="I577"/>
  <c r="H577"/>
  <c r="J576"/>
  <c r="K576" s="1"/>
  <c r="I576"/>
  <c r="H576"/>
  <c r="J575"/>
  <c r="K575" s="1"/>
  <c r="I575"/>
  <c r="H575"/>
  <c r="J574"/>
  <c r="K574" s="1"/>
  <c r="I574"/>
  <c r="H574"/>
  <c r="J573"/>
  <c r="K573" s="1"/>
  <c r="I573"/>
  <c r="H573"/>
  <c r="J572"/>
  <c r="K572" s="1"/>
  <c r="I572"/>
  <c r="H572"/>
  <c r="J571"/>
  <c r="K571" s="1"/>
  <c r="I571"/>
  <c r="H571"/>
  <c r="J570"/>
  <c r="K570" s="1"/>
  <c r="I570"/>
  <c r="H570"/>
  <c r="J569"/>
  <c r="K569" s="1"/>
  <c r="I569"/>
  <c r="H569"/>
  <c r="J568"/>
  <c r="K568" s="1"/>
  <c r="I568"/>
  <c r="H568"/>
  <c r="J567"/>
  <c r="K567" s="1"/>
  <c r="I567"/>
  <c r="H567"/>
  <c r="J566"/>
  <c r="K566" s="1"/>
  <c r="I566"/>
  <c r="H566"/>
  <c r="J565"/>
  <c r="K565" s="1"/>
  <c r="I565"/>
  <c r="H565"/>
  <c r="J564"/>
  <c r="K564" s="1"/>
  <c r="I564"/>
  <c r="H564"/>
  <c r="J563"/>
  <c r="K563" s="1"/>
  <c r="I563"/>
  <c r="H563"/>
  <c r="J562"/>
  <c r="K562" s="1"/>
  <c r="I562"/>
  <c r="H562"/>
  <c r="J561"/>
  <c r="K561" s="1"/>
  <c r="I561"/>
  <c r="H561"/>
  <c r="J560"/>
  <c r="K560" s="1"/>
  <c r="I560"/>
  <c r="H560"/>
  <c r="J559"/>
  <c r="K559" s="1"/>
  <c r="I559"/>
  <c r="H559"/>
  <c r="J558"/>
  <c r="K558" s="1"/>
  <c r="I558"/>
  <c r="H558"/>
  <c r="J557"/>
  <c r="K557" s="1"/>
  <c r="I557"/>
  <c r="H557"/>
  <c r="J556"/>
  <c r="K556" s="1"/>
  <c r="I556"/>
  <c r="H556"/>
  <c r="J555"/>
  <c r="J630" s="1"/>
  <c r="I555"/>
  <c r="H555"/>
  <c r="F552"/>
  <c r="F631" s="1"/>
  <c r="G551"/>
  <c r="H551" s="1"/>
  <c r="F551"/>
  <c r="D551"/>
  <c r="C551"/>
  <c r="E551" s="1"/>
  <c r="K550"/>
  <c r="J550"/>
  <c r="I550"/>
  <c r="H550"/>
  <c r="E550"/>
  <c r="J549"/>
  <c r="I549"/>
  <c r="K549" s="1"/>
  <c r="H549"/>
  <c r="E549"/>
  <c r="J548"/>
  <c r="K548" s="1"/>
  <c r="I548"/>
  <c r="H548"/>
  <c r="E548"/>
  <c r="K547"/>
  <c r="J547"/>
  <c r="I547"/>
  <c r="H547"/>
  <c r="E547"/>
  <c r="K546"/>
  <c r="J546"/>
  <c r="I546"/>
  <c r="H546"/>
  <c r="E546"/>
  <c r="J545"/>
  <c r="I545"/>
  <c r="K545" s="1"/>
  <c r="H545"/>
  <c r="E545"/>
  <c r="J544"/>
  <c r="K544" s="1"/>
  <c r="I544"/>
  <c r="H544"/>
  <c r="E544"/>
  <c r="K543"/>
  <c r="J543"/>
  <c r="I543"/>
  <c r="H543"/>
  <c r="E543"/>
  <c r="K542"/>
  <c r="J542"/>
  <c r="I542"/>
  <c r="H542"/>
  <c r="E542"/>
  <c r="J541"/>
  <c r="I541"/>
  <c r="K541" s="1"/>
  <c r="H541"/>
  <c r="E541"/>
  <c r="J540"/>
  <c r="K540" s="1"/>
  <c r="I540"/>
  <c r="H540"/>
  <c r="E540"/>
  <c r="K539"/>
  <c r="J539"/>
  <c r="I539"/>
  <c r="H539"/>
  <c r="E539"/>
  <c r="K538"/>
  <c r="J538"/>
  <c r="I538"/>
  <c r="H538"/>
  <c r="E538"/>
  <c r="J537"/>
  <c r="I537"/>
  <c r="K537" s="1"/>
  <c r="H537"/>
  <c r="E537"/>
  <c r="J536"/>
  <c r="K536" s="1"/>
  <c r="I536"/>
  <c r="H536"/>
  <c r="E536"/>
  <c r="K535"/>
  <c r="J535"/>
  <c r="I535"/>
  <c r="H535"/>
  <c r="E535"/>
  <c r="K534"/>
  <c r="J534"/>
  <c r="I534"/>
  <c r="H534"/>
  <c r="E534"/>
  <c r="J533"/>
  <c r="I533"/>
  <c r="K533" s="1"/>
  <c r="H533"/>
  <c r="E533"/>
  <c r="J532"/>
  <c r="K532" s="1"/>
  <c r="I532"/>
  <c r="H532"/>
  <c r="E532"/>
  <c r="K531"/>
  <c r="J531"/>
  <c r="I531"/>
  <c r="H531"/>
  <c r="E531"/>
  <c r="K530"/>
  <c r="J530"/>
  <c r="I530"/>
  <c r="H530"/>
  <c r="E530"/>
  <c r="J529"/>
  <c r="I529"/>
  <c r="K529" s="1"/>
  <c r="H529"/>
  <c r="E529"/>
  <c r="J528"/>
  <c r="K528" s="1"/>
  <c r="I528"/>
  <c r="H528"/>
  <c r="E528"/>
  <c r="K527"/>
  <c r="J527"/>
  <c r="I527"/>
  <c r="H527"/>
  <c r="E527"/>
  <c r="K526"/>
  <c r="J526"/>
  <c r="I526"/>
  <c r="H526"/>
  <c r="E526"/>
  <c r="J525"/>
  <c r="I525"/>
  <c r="K525" s="1"/>
  <c r="H525"/>
  <c r="E525"/>
  <c r="J524"/>
  <c r="K524" s="1"/>
  <c r="I524"/>
  <c r="H524"/>
  <c r="E524"/>
  <c r="K523"/>
  <c r="J523"/>
  <c r="I523"/>
  <c r="H523"/>
  <c r="E523"/>
  <c r="K522"/>
  <c r="J522"/>
  <c r="I522"/>
  <c r="H522"/>
  <c r="E522"/>
  <c r="J521"/>
  <c r="I521"/>
  <c r="K521" s="1"/>
  <c r="H521"/>
  <c r="E521"/>
  <c r="J520"/>
  <c r="K520" s="1"/>
  <c r="I520"/>
  <c r="H520"/>
  <c r="E520"/>
  <c r="K519"/>
  <c r="J519"/>
  <c r="I519"/>
  <c r="H519"/>
  <c r="E519"/>
  <c r="K518"/>
  <c r="J518"/>
  <c r="I518"/>
  <c r="H518"/>
  <c r="E518"/>
  <c r="J517"/>
  <c r="I517"/>
  <c r="K517" s="1"/>
  <c r="H517"/>
  <c r="E517"/>
  <c r="J516"/>
  <c r="K516" s="1"/>
  <c r="I516"/>
  <c r="H516"/>
  <c r="E516"/>
  <c r="K515"/>
  <c r="J515"/>
  <c r="I515"/>
  <c r="H515"/>
  <c r="E515"/>
  <c r="K514"/>
  <c r="J514"/>
  <c r="I514"/>
  <c r="H514"/>
  <c r="E514"/>
  <c r="J513"/>
  <c r="I513"/>
  <c r="K513" s="1"/>
  <c r="H513"/>
  <c r="E513"/>
  <c r="J512"/>
  <c r="K512" s="1"/>
  <c r="I512"/>
  <c r="H512"/>
  <c r="E512"/>
  <c r="K511"/>
  <c r="J511"/>
  <c r="I511"/>
  <c r="H511"/>
  <c r="E511"/>
  <c r="K510"/>
  <c r="J510"/>
  <c r="I510"/>
  <c r="H510"/>
  <c r="E510"/>
  <c r="J509"/>
  <c r="I509"/>
  <c r="K509" s="1"/>
  <c r="H509"/>
  <c r="E509"/>
  <c r="J508"/>
  <c r="K508" s="1"/>
  <c r="I508"/>
  <c r="H508"/>
  <c r="E508"/>
  <c r="K507"/>
  <c r="J507"/>
  <c r="I507"/>
  <c r="H507"/>
  <c r="E507"/>
  <c r="K506"/>
  <c r="J506"/>
  <c r="I506"/>
  <c r="H506"/>
  <c r="E506"/>
  <c r="J505"/>
  <c r="I505"/>
  <c r="K505" s="1"/>
  <c r="H505"/>
  <c r="E505"/>
  <c r="J504"/>
  <c r="K504" s="1"/>
  <c r="I504"/>
  <c r="H504"/>
  <c r="E504"/>
  <c r="K503"/>
  <c r="J503"/>
  <c r="I503"/>
  <c r="H503"/>
  <c r="E503"/>
  <c r="K502"/>
  <c r="J502"/>
  <c r="I502"/>
  <c r="H502"/>
  <c r="E502"/>
  <c r="J501"/>
  <c r="I501"/>
  <c r="K501" s="1"/>
  <c r="H501"/>
  <c r="E501"/>
  <c r="J500"/>
  <c r="K500" s="1"/>
  <c r="I500"/>
  <c r="H500"/>
  <c r="E500"/>
  <c r="K499"/>
  <c r="J499"/>
  <c r="I499"/>
  <c r="H499"/>
  <c r="E499"/>
  <c r="K498"/>
  <c r="J498"/>
  <c r="I498"/>
  <c r="H498"/>
  <c r="E498"/>
  <c r="J497"/>
  <c r="I497"/>
  <c r="K497" s="1"/>
  <c r="H497"/>
  <c r="E497"/>
  <c r="J496"/>
  <c r="K496" s="1"/>
  <c r="I496"/>
  <c r="H496"/>
  <c r="E496"/>
  <c r="K495"/>
  <c r="J495"/>
  <c r="I495"/>
  <c r="H495"/>
  <c r="E495"/>
  <c r="K494"/>
  <c r="J494"/>
  <c r="I494"/>
  <c r="H494"/>
  <c r="E494"/>
  <c r="J493"/>
  <c r="I493"/>
  <c r="K493" s="1"/>
  <c r="H493"/>
  <c r="E493"/>
  <c r="J492"/>
  <c r="K492" s="1"/>
  <c r="I492"/>
  <c r="H492"/>
  <c r="E492"/>
  <c r="K491"/>
  <c r="J491"/>
  <c r="I491"/>
  <c r="H491"/>
  <c r="E491"/>
  <c r="K490"/>
  <c r="J490"/>
  <c r="I490"/>
  <c r="H490"/>
  <c r="E490"/>
  <c r="J489"/>
  <c r="I489"/>
  <c r="K489" s="1"/>
  <c r="H489"/>
  <c r="E489"/>
  <c r="J488"/>
  <c r="K488" s="1"/>
  <c r="I488"/>
  <c r="H488"/>
  <c r="E488"/>
  <c r="K487"/>
  <c r="J487"/>
  <c r="I487"/>
  <c r="H487"/>
  <c r="E487"/>
  <c r="K486"/>
  <c r="J486"/>
  <c r="I486"/>
  <c r="H486"/>
  <c r="E486"/>
  <c r="J485"/>
  <c r="I485"/>
  <c r="K485" s="1"/>
  <c r="H485"/>
  <c r="E485"/>
  <c r="J484"/>
  <c r="K484" s="1"/>
  <c r="I484"/>
  <c r="H484"/>
  <c r="E484"/>
  <c r="K483"/>
  <c r="J483"/>
  <c r="I483"/>
  <c r="H483"/>
  <c r="E483"/>
  <c r="K482"/>
  <c r="J482"/>
  <c r="I482"/>
  <c r="H482"/>
  <c r="E482"/>
  <c r="J481"/>
  <c r="I481"/>
  <c r="K481" s="1"/>
  <c r="H481"/>
  <c r="E481"/>
  <c r="J480"/>
  <c r="K480" s="1"/>
  <c r="I480"/>
  <c r="H480"/>
  <c r="E480"/>
  <c r="K479"/>
  <c r="J479"/>
  <c r="J551" s="1"/>
  <c r="K551" s="1"/>
  <c r="I479"/>
  <c r="I551" s="1"/>
  <c r="H479"/>
  <c r="E479"/>
  <c r="F477"/>
  <c r="D477"/>
  <c r="C477"/>
  <c r="J476"/>
  <c r="I476"/>
  <c r="K476" s="1"/>
  <c r="H476"/>
  <c r="E476"/>
  <c r="J475"/>
  <c r="K475" s="1"/>
  <c r="I475"/>
  <c r="H475"/>
  <c r="E475"/>
  <c r="K474"/>
  <c r="J474"/>
  <c r="I474"/>
  <c r="H474"/>
  <c r="E474"/>
  <c r="K473"/>
  <c r="J473"/>
  <c r="I473"/>
  <c r="H473"/>
  <c r="E473"/>
  <c r="J472"/>
  <c r="I472"/>
  <c r="K472" s="1"/>
  <c r="H472"/>
  <c r="E472"/>
  <c r="J471"/>
  <c r="K471" s="1"/>
  <c r="I471"/>
  <c r="H471"/>
  <c r="E471"/>
  <c r="K470"/>
  <c r="J470"/>
  <c r="I470"/>
  <c r="H470"/>
  <c r="E470"/>
  <c r="K469"/>
  <c r="J469"/>
  <c r="I469"/>
  <c r="H469"/>
  <c r="E469"/>
  <c r="J468"/>
  <c r="I468"/>
  <c r="K468" s="1"/>
  <c r="H468"/>
  <c r="E468"/>
  <c r="J467"/>
  <c r="K467" s="1"/>
  <c r="I467"/>
  <c r="H467"/>
  <c r="E467"/>
  <c r="K466"/>
  <c r="J466"/>
  <c r="I466"/>
  <c r="H466"/>
  <c r="E466"/>
  <c r="K465"/>
  <c r="J465"/>
  <c r="I465"/>
  <c r="H465"/>
  <c r="E465"/>
  <c r="J464"/>
  <c r="I464"/>
  <c r="K464" s="1"/>
  <c r="H464"/>
  <c r="E464"/>
  <c r="J463"/>
  <c r="K463" s="1"/>
  <c r="I463"/>
  <c r="H463"/>
  <c r="E463"/>
  <c r="K462"/>
  <c r="J462"/>
  <c r="I462"/>
  <c r="H462"/>
  <c r="E462"/>
  <c r="K461"/>
  <c r="J461"/>
  <c r="I461"/>
  <c r="H461"/>
  <c r="E461"/>
  <c r="J460"/>
  <c r="I460"/>
  <c r="K460" s="1"/>
  <c r="H460"/>
  <c r="E460"/>
  <c r="J459"/>
  <c r="K459" s="1"/>
  <c r="I459"/>
  <c r="H459"/>
  <c r="E459"/>
  <c r="K458"/>
  <c r="J458"/>
  <c r="I458"/>
  <c r="H458"/>
  <c r="E458"/>
  <c r="K457"/>
  <c r="J457"/>
  <c r="I457"/>
  <c r="H457"/>
  <c r="E457"/>
  <c r="J456"/>
  <c r="I456"/>
  <c r="K456" s="1"/>
  <c r="H456"/>
  <c r="E456"/>
  <c r="J455"/>
  <c r="K455" s="1"/>
  <c r="I455"/>
  <c r="H455"/>
  <c r="E455"/>
  <c r="K454"/>
  <c r="J454"/>
  <c r="I454"/>
  <c r="H454"/>
  <c r="E454"/>
  <c r="K453"/>
  <c r="J453"/>
  <c r="I453"/>
  <c r="H453"/>
  <c r="E453"/>
  <c r="J452"/>
  <c r="I452"/>
  <c r="K452" s="1"/>
  <c r="H452"/>
  <c r="E452"/>
  <c r="J451"/>
  <c r="K451" s="1"/>
  <c r="I451"/>
  <c r="H451"/>
  <c r="E451"/>
  <c r="K450"/>
  <c r="J450"/>
  <c r="I450"/>
  <c r="H450"/>
  <c r="E450"/>
  <c r="K449"/>
  <c r="J449"/>
  <c r="I449"/>
  <c r="H449"/>
  <c r="E449"/>
  <c r="J448"/>
  <c r="I448"/>
  <c r="K448" s="1"/>
  <c r="H448"/>
  <c r="E448"/>
  <c r="J447"/>
  <c r="K447" s="1"/>
  <c r="I447"/>
  <c r="H447"/>
  <c r="E447"/>
  <c r="K446"/>
  <c r="J446"/>
  <c r="I446"/>
  <c r="H446"/>
  <c r="E446"/>
  <c r="K445"/>
  <c r="J445"/>
  <c r="I445"/>
  <c r="H445"/>
  <c r="E445"/>
  <c r="J444"/>
  <c r="I444"/>
  <c r="K444" s="1"/>
  <c r="H444"/>
  <c r="E444"/>
  <c r="J443"/>
  <c r="K443" s="1"/>
  <c r="I443"/>
  <c r="H443"/>
  <c r="E443"/>
  <c r="K442"/>
  <c r="J442"/>
  <c r="I442"/>
  <c r="H442"/>
  <c r="E442"/>
  <c r="I441"/>
  <c r="H441"/>
  <c r="G441"/>
  <c r="J441" s="1"/>
  <c r="K441" s="1"/>
  <c r="E441"/>
  <c r="J440"/>
  <c r="K440" s="1"/>
  <c r="I440"/>
  <c r="H440"/>
  <c r="G440"/>
  <c r="E440"/>
  <c r="I439"/>
  <c r="H439"/>
  <c r="G439"/>
  <c r="J439" s="1"/>
  <c r="K439" s="1"/>
  <c r="E439"/>
  <c r="J438"/>
  <c r="K438" s="1"/>
  <c r="I438"/>
  <c r="H438"/>
  <c r="E438"/>
  <c r="K437"/>
  <c r="J437"/>
  <c r="I437"/>
  <c r="H437"/>
  <c r="E437"/>
  <c r="I436"/>
  <c r="H436"/>
  <c r="G436"/>
  <c r="J436" s="1"/>
  <c r="K436" s="1"/>
  <c r="E436"/>
  <c r="J435"/>
  <c r="K435" s="1"/>
  <c r="I435"/>
  <c r="H435"/>
  <c r="G435"/>
  <c r="E435"/>
  <c r="I434"/>
  <c r="H434"/>
  <c r="G434"/>
  <c r="J434" s="1"/>
  <c r="K434" s="1"/>
  <c r="E434"/>
  <c r="J433"/>
  <c r="K433" s="1"/>
  <c r="I433"/>
  <c r="H433"/>
  <c r="G433"/>
  <c r="E433"/>
  <c r="K432"/>
  <c r="J432"/>
  <c r="I432"/>
  <c r="H432"/>
  <c r="E432"/>
  <c r="J431"/>
  <c r="I431"/>
  <c r="K431" s="1"/>
  <c r="H431"/>
  <c r="E431"/>
  <c r="J430"/>
  <c r="K430" s="1"/>
  <c r="I430"/>
  <c r="H430"/>
  <c r="E430"/>
  <c r="K429"/>
  <c r="J429"/>
  <c r="I429"/>
  <c r="H429"/>
  <c r="E429"/>
  <c r="K428"/>
  <c r="J428"/>
  <c r="I428"/>
  <c r="H428"/>
  <c r="E428"/>
  <c r="J427"/>
  <c r="I427"/>
  <c r="K427" s="1"/>
  <c r="H427"/>
  <c r="E427"/>
  <c r="J426"/>
  <c r="K426" s="1"/>
  <c r="I426"/>
  <c r="H426"/>
  <c r="E426"/>
  <c r="K425"/>
  <c r="J425"/>
  <c r="I425"/>
  <c r="H425"/>
  <c r="E425"/>
  <c r="K424"/>
  <c r="J424"/>
  <c r="I424"/>
  <c r="H424"/>
  <c r="E424"/>
  <c r="J423"/>
  <c r="I423"/>
  <c r="K423" s="1"/>
  <c r="H423"/>
  <c r="E423"/>
  <c r="J422"/>
  <c r="K422" s="1"/>
  <c r="I422"/>
  <c r="H422"/>
  <c r="E422"/>
  <c r="K421"/>
  <c r="J421"/>
  <c r="I421"/>
  <c r="H421"/>
  <c r="E421"/>
  <c r="K420"/>
  <c r="J420"/>
  <c r="I420"/>
  <c r="H420"/>
  <c r="E420"/>
  <c r="J419"/>
  <c r="I419"/>
  <c r="K419" s="1"/>
  <c r="H419"/>
  <c r="E419"/>
  <c r="J418"/>
  <c r="K418" s="1"/>
  <c r="I418"/>
  <c r="H418"/>
  <c r="E418"/>
  <c r="K417"/>
  <c r="J417"/>
  <c r="I417"/>
  <c r="H417"/>
  <c r="E417"/>
  <c r="K416"/>
  <c r="J416"/>
  <c r="I416"/>
  <c r="H416"/>
  <c r="E416"/>
  <c r="J415"/>
  <c r="I415"/>
  <c r="K415" s="1"/>
  <c r="H415"/>
  <c r="E415"/>
  <c r="J414"/>
  <c r="K414" s="1"/>
  <c r="I414"/>
  <c r="H414"/>
  <c r="E414"/>
  <c r="K413"/>
  <c r="J413"/>
  <c r="I413"/>
  <c r="H413"/>
  <c r="E413"/>
  <c r="K412"/>
  <c r="J412"/>
  <c r="I412"/>
  <c r="H412"/>
  <c r="E412"/>
  <c r="J411"/>
  <c r="I411"/>
  <c r="K411" s="1"/>
  <c r="H411"/>
  <c r="E411"/>
  <c r="J410"/>
  <c r="K410" s="1"/>
  <c r="I410"/>
  <c r="H410"/>
  <c r="E410"/>
  <c r="K409"/>
  <c r="J409"/>
  <c r="I409"/>
  <c r="H409"/>
  <c r="E409"/>
  <c r="K408"/>
  <c r="J408"/>
  <c r="I408"/>
  <c r="H408"/>
  <c r="E408"/>
  <c r="J407"/>
  <c r="I407"/>
  <c r="K407" s="1"/>
  <c r="H407"/>
  <c r="E407"/>
  <c r="J406"/>
  <c r="K406" s="1"/>
  <c r="I406"/>
  <c r="H406"/>
  <c r="E406"/>
  <c r="K405"/>
  <c r="J405"/>
  <c r="I405"/>
  <c r="H405"/>
  <c r="E405"/>
  <c r="K404"/>
  <c r="J404"/>
  <c r="I404"/>
  <c r="H404"/>
  <c r="E404"/>
  <c r="J403"/>
  <c r="I403"/>
  <c r="K403" s="1"/>
  <c r="H403"/>
  <c r="E403"/>
  <c r="J402"/>
  <c r="K402" s="1"/>
  <c r="I402"/>
  <c r="H402"/>
  <c r="E402"/>
  <c r="K401"/>
  <c r="J401"/>
  <c r="I401"/>
  <c r="H401"/>
  <c r="E401"/>
  <c r="K400"/>
  <c r="J400"/>
  <c r="I400"/>
  <c r="H400"/>
  <c r="E400"/>
  <c r="J399"/>
  <c r="I399"/>
  <c r="K399" s="1"/>
  <c r="H399"/>
  <c r="E399"/>
  <c r="J398"/>
  <c r="K398" s="1"/>
  <c r="I398"/>
  <c r="H398"/>
  <c r="E398"/>
  <c r="K397"/>
  <c r="J397"/>
  <c r="I397"/>
  <c r="H397"/>
  <c r="E397"/>
  <c r="K396"/>
  <c r="J396"/>
  <c r="I396"/>
  <c r="I477" s="1"/>
  <c r="H396"/>
  <c r="E396"/>
  <c r="F394"/>
  <c r="E394"/>
  <c r="D394"/>
  <c r="D552" s="1"/>
  <c r="C394"/>
  <c r="C552" s="1"/>
  <c r="C631" s="1"/>
  <c r="J393"/>
  <c r="K393" s="1"/>
  <c r="I393"/>
  <c r="H393"/>
  <c r="E393"/>
  <c r="K392"/>
  <c r="J392"/>
  <c r="I392"/>
  <c r="H392"/>
  <c r="E392"/>
  <c r="K391"/>
  <c r="J391"/>
  <c r="I391"/>
  <c r="H391"/>
  <c r="E391"/>
  <c r="J390"/>
  <c r="I390"/>
  <c r="K390" s="1"/>
  <c r="H390"/>
  <c r="E390"/>
  <c r="J389"/>
  <c r="K389" s="1"/>
  <c r="I389"/>
  <c r="H389"/>
  <c r="E389"/>
  <c r="K388"/>
  <c r="J388"/>
  <c r="I388"/>
  <c r="H388"/>
  <c r="E388"/>
  <c r="K387"/>
  <c r="J387"/>
  <c r="I387"/>
  <c r="H387"/>
  <c r="E387"/>
  <c r="J386"/>
  <c r="I386"/>
  <c r="K386" s="1"/>
  <c r="H386"/>
  <c r="E386"/>
  <c r="J385"/>
  <c r="K385" s="1"/>
  <c r="I385"/>
  <c r="H385"/>
  <c r="E385"/>
  <c r="K384"/>
  <c r="J384"/>
  <c r="I384"/>
  <c r="H384"/>
  <c r="E384"/>
  <c r="K383"/>
  <c r="J383"/>
  <c r="I383"/>
  <c r="H383"/>
  <c r="E383"/>
  <c r="J382"/>
  <c r="I382"/>
  <c r="K382" s="1"/>
  <c r="H382"/>
  <c r="E382"/>
  <c r="J381"/>
  <c r="K381" s="1"/>
  <c r="I381"/>
  <c r="H381"/>
  <c r="E381"/>
  <c r="K380"/>
  <c r="J380"/>
  <c r="I380"/>
  <c r="H380"/>
  <c r="E380"/>
  <c r="K379"/>
  <c r="J379"/>
  <c r="I379"/>
  <c r="H379"/>
  <c r="E379"/>
  <c r="J378"/>
  <c r="I378"/>
  <c r="K378" s="1"/>
  <c r="H378"/>
  <c r="E378"/>
  <c r="J377"/>
  <c r="K377" s="1"/>
  <c r="I377"/>
  <c r="H377"/>
  <c r="E377"/>
  <c r="K376"/>
  <c r="J376"/>
  <c r="I376"/>
  <c r="H376"/>
  <c r="E376"/>
  <c r="K375"/>
  <c r="J375"/>
  <c r="I375"/>
  <c r="H375"/>
  <c r="E375"/>
  <c r="J374"/>
  <c r="I374"/>
  <c r="K374" s="1"/>
  <c r="H374"/>
  <c r="E374"/>
  <c r="J373"/>
  <c r="K373" s="1"/>
  <c r="I373"/>
  <c r="H373"/>
  <c r="E373"/>
  <c r="K372"/>
  <c r="J372"/>
  <c r="I372"/>
  <c r="H372"/>
  <c r="E372"/>
  <c r="I371"/>
  <c r="H371"/>
  <c r="G371"/>
  <c r="G394" s="1"/>
  <c r="E371"/>
  <c r="J370"/>
  <c r="K370" s="1"/>
  <c r="I370"/>
  <c r="H370"/>
  <c r="E370"/>
  <c r="K369"/>
  <c r="J369"/>
  <c r="I369"/>
  <c r="H369"/>
  <c r="E369"/>
  <c r="K368"/>
  <c r="J368"/>
  <c r="I368"/>
  <c r="H368"/>
  <c r="E368"/>
  <c r="J367"/>
  <c r="I367"/>
  <c r="K367" s="1"/>
  <c r="H367"/>
  <c r="E367"/>
  <c r="J366"/>
  <c r="K366" s="1"/>
  <c r="I366"/>
  <c r="H366"/>
  <c r="E366"/>
  <c r="K365"/>
  <c r="J365"/>
  <c r="I365"/>
  <c r="H365"/>
  <c r="E365"/>
  <c r="K364"/>
  <c r="J364"/>
  <c r="I364"/>
  <c r="H364"/>
  <c r="E364"/>
  <c r="J363"/>
  <c r="I363"/>
  <c r="K363" s="1"/>
  <c r="H363"/>
  <c r="E363"/>
  <c r="J362"/>
  <c r="K362" s="1"/>
  <c r="I362"/>
  <c r="H362"/>
  <c r="E362"/>
  <c r="K361"/>
  <c r="J361"/>
  <c r="I361"/>
  <c r="H361"/>
  <c r="E361"/>
  <c r="K360"/>
  <c r="J360"/>
  <c r="I360"/>
  <c r="H360"/>
  <c r="E360"/>
  <c r="J359"/>
  <c r="I359"/>
  <c r="K359" s="1"/>
  <c r="H359"/>
  <c r="E359"/>
  <c r="J358"/>
  <c r="K358" s="1"/>
  <c r="I358"/>
  <c r="H358"/>
  <c r="E358"/>
  <c r="K357"/>
  <c r="J357"/>
  <c r="I357"/>
  <c r="H357"/>
  <c r="E357"/>
  <c r="K356"/>
  <c r="J356"/>
  <c r="I356"/>
  <c r="H356"/>
  <c r="E356"/>
  <c r="J355"/>
  <c r="I355"/>
  <c r="K355" s="1"/>
  <c r="H355"/>
  <c r="E355"/>
  <c r="J354"/>
  <c r="K354" s="1"/>
  <c r="I354"/>
  <c r="H354"/>
  <c r="E354"/>
  <c r="K353"/>
  <c r="J353"/>
  <c r="I353"/>
  <c r="H353"/>
  <c r="E353"/>
  <c r="K352"/>
  <c r="J352"/>
  <c r="I352"/>
  <c r="H352"/>
  <c r="E352"/>
  <c r="J351"/>
  <c r="I351"/>
  <c r="K351" s="1"/>
  <c r="H351"/>
  <c r="E351"/>
  <c r="J350"/>
  <c r="K350" s="1"/>
  <c r="I350"/>
  <c r="H350"/>
  <c r="E350"/>
  <c r="K349"/>
  <c r="J349"/>
  <c r="I349"/>
  <c r="H349"/>
  <c r="E349"/>
  <c r="K348"/>
  <c r="J348"/>
  <c r="I348"/>
  <c r="H348"/>
  <c r="E348"/>
  <c r="J347"/>
  <c r="I347"/>
  <c r="K347" s="1"/>
  <c r="H347"/>
  <c r="E347"/>
  <c r="J346"/>
  <c r="K346" s="1"/>
  <c r="I346"/>
  <c r="H346"/>
  <c r="E346"/>
  <c r="K345"/>
  <c r="J345"/>
  <c r="I345"/>
  <c r="H345"/>
  <c r="E345"/>
  <c r="K344"/>
  <c r="J344"/>
  <c r="I344"/>
  <c r="H344"/>
  <c r="E344"/>
  <c r="J343"/>
  <c r="I343"/>
  <c r="K343" s="1"/>
  <c r="H343"/>
  <c r="E343"/>
  <c r="J342"/>
  <c r="K342" s="1"/>
  <c r="I342"/>
  <c r="H342"/>
  <c r="E342"/>
  <c r="K341"/>
  <c r="J341"/>
  <c r="I341"/>
  <c r="H341"/>
  <c r="E341"/>
  <c r="K340"/>
  <c r="J340"/>
  <c r="I340"/>
  <c r="H340"/>
  <c r="E340"/>
  <c r="J339"/>
  <c r="I339"/>
  <c r="K339" s="1"/>
  <c r="H339"/>
  <c r="E339"/>
  <c r="J338"/>
  <c r="K338" s="1"/>
  <c r="I338"/>
  <c r="H338"/>
  <c r="E338"/>
  <c r="K337"/>
  <c r="J337"/>
  <c r="I337"/>
  <c r="H337"/>
  <c r="E337"/>
  <c r="K336"/>
  <c r="J336"/>
  <c r="I336"/>
  <c r="H336"/>
  <c r="E336"/>
  <c r="J335"/>
  <c r="I335"/>
  <c r="K335" s="1"/>
  <c r="H335"/>
  <c r="E335"/>
  <c r="J334"/>
  <c r="K334" s="1"/>
  <c r="I334"/>
  <c r="H334"/>
  <c r="E334"/>
  <c r="K333"/>
  <c r="J333"/>
  <c r="I333"/>
  <c r="H333"/>
  <c r="E333"/>
  <c r="K332"/>
  <c r="J332"/>
  <c r="I332"/>
  <c r="H332"/>
  <c r="E332"/>
  <c r="J331"/>
  <c r="I331"/>
  <c r="K331" s="1"/>
  <c r="H331"/>
  <c r="E331"/>
  <c r="J330"/>
  <c r="K330" s="1"/>
  <c r="I330"/>
  <c r="H330"/>
  <c r="E330"/>
  <c r="K329"/>
  <c r="J329"/>
  <c r="I329"/>
  <c r="H329"/>
  <c r="E329"/>
  <c r="K328"/>
  <c r="J328"/>
  <c r="I328"/>
  <c r="H328"/>
  <c r="E328"/>
  <c r="J327"/>
  <c r="I327"/>
  <c r="K327" s="1"/>
  <c r="H327"/>
  <c r="E327"/>
  <c r="J326"/>
  <c r="K326" s="1"/>
  <c r="I326"/>
  <c r="H326"/>
  <c r="E326"/>
  <c r="K325"/>
  <c r="J325"/>
  <c r="I325"/>
  <c r="H325"/>
  <c r="E325"/>
  <c r="K324"/>
  <c r="J324"/>
  <c r="I324"/>
  <c r="H324"/>
  <c r="E324"/>
  <c r="J323"/>
  <c r="I323"/>
  <c r="K323" s="1"/>
  <c r="H323"/>
  <c r="E323"/>
  <c r="J322"/>
  <c r="K322" s="1"/>
  <c r="I322"/>
  <c r="H322"/>
  <c r="E322"/>
  <c r="K321"/>
  <c r="J321"/>
  <c r="I321"/>
  <c r="H321"/>
  <c r="E321"/>
  <c r="K320"/>
  <c r="J320"/>
  <c r="I320"/>
  <c r="H320"/>
  <c r="E320"/>
  <c r="J319"/>
  <c r="I319"/>
  <c r="K319" s="1"/>
  <c r="H319"/>
  <c r="E319"/>
  <c r="J318"/>
  <c r="K318" s="1"/>
  <c r="I318"/>
  <c r="H318"/>
  <c r="E318"/>
  <c r="K317"/>
  <c r="J317"/>
  <c r="I317"/>
  <c r="H317"/>
  <c r="E317"/>
  <c r="K316"/>
  <c r="J316"/>
  <c r="I316"/>
  <c r="H316"/>
  <c r="E316"/>
  <c r="J315"/>
  <c r="I315"/>
  <c r="K315" s="1"/>
  <c r="H315"/>
  <c r="E315"/>
  <c r="J314"/>
  <c r="K314" s="1"/>
  <c r="I314"/>
  <c r="H314"/>
  <c r="E314"/>
  <c r="K313"/>
  <c r="J313"/>
  <c r="I313"/>
  <c r="H313"/>
  <c r="E313"/>
  <c r="K312"/>
  <c r="J312"/>
  <c r="I312"/>
  <c r="H312"/>
  <c r="E312"/>
  <c r="J311"/>
  <c r="I311"/>
  <c r="K311" s="1"/>
  <c r="H311"/>
  <c r="E311"/>
  <c r="J310"/>
  <c r="K310" s="1"/>
  <c r="I310"/>
  <c r="H310"/>
  <c r="E310"/>
  <c r="K309"/>
  <c r="J309"/>
  <c r="I309"/>
  <c r="H309"/>
  <c r="E309"/>
  <c r="K308"/>
  <c r="J308"/>
  <c r="I308"/>
  <c r="H308"/>
  <c r="E308"/>
  <c r="J307"/>
  <c r="I307"/>
  <c r="K307" s="1"/>
  <c r="H307"/>
  <c r="E307"/>
  <c r="J306"/>
  <c r="K306" s="1"/>
  <c r="I306"/>
  <c r="H306"/>
  <c r="E306"/>
  <c r="K305"/>
  <c r="J305"/>
  <c r="I305"/>
  <c r="H305"/>
  <c r="E305"/>
  <c r="K304"/>
  <c r="J304"/>
  <c r="I304"/>
  <c r="H304"/>
  <c r="E304"/>
  <c r="J303"/>
  <c r="I303"/>
  <c r="K303" s="1"/>
  <c r="H303"/>
  <c r="E303"/>
  <c r="J302"/>
  <c r="K302" s="1"/>
  <c r="I302"/>
  <c r="H302"/>
  <c r="E302"/>
  <c r="K301"/>
  <c r="J301"/>
  <c r="I301"/>
  <c r="H301"/>
  <c r="E301"/>
  <c r="K300"/>
  <c r="J300"/>
  <c r="I300"/>
  <c r="H300"/>
  <c r="E300"/>
  <c r="J299"/>
  <c r="I299"/>
  <c r="K299" s="1"/>
  <c r="H299"/>
  <c r="E299"/>
  <c r="J298"/>
  <c r="K298" s="1"/>
  <c r="I298"/>
  <c r="H298"/>
  <c r="E298"/>
  <c r="K297"/>
  <c r="J297"/>
  <c r="I297"/>
  <c r="H297"/>
  <c r="E297"/>
  <c r="K296"/>
  <c r="J296"/>
  <c r="I296"/>
  <c r="H296"/>
  <c r="E296"/>
  <c r="J295"/>
  <c r="I295"/>
  <c r="K295" s="1"/>
  <c r="H295"/>
  <c r="E295"/>
  <c r="J294"/>
  <c r="K294" s="1"/>
  <c r="I294"/>
  <c r="H294"/>
  <c r="E294"/>
  <c r="K293"/>
  <c r="J293"/>
  <c r="I293"/>
  <c r="H293"/>
  <c r="E293"/>
  <c r="K292"/>
  <c r="J292"/>
  <c r="I292"/>
  <c r="H292"/>
  <c r="E292"/>
  <c r="J291"/>
  <c r="I291"/>
  <c r="K291" s="1"/>
  <c r="H291"/>
  <c r="E291"/>
  <c r="J290"/>
  <c r="K290" s="1"/>
  <c r="I290"/>
  <c r="H290"/>
  <c r="E290"/>
  <c r="K289"/>
  <c r="J289"/>
  <c r="I289"/>
  <c r="H289"/>
  <c r="E289"/>
  <c r="K288"/>
  <c r="J288"/>
  <c r="I288"/>
  <c r="H288"/>
  <c r="E288"/>
  <c r="J287"/>
  <c r="I287"/>
  <c r="K287" s="1"/>
  <c r="H287"/>
  <c r="E287"/>
  <c r="J286"/>
  <c r="K286" s="1"/>
  <c r="I286"/>
  <c r="H286"/>
  <c r="E286"/>
  <c r="K285"/>
  <c r="J285"/>
  <c r="I285"/>
  <c r="H285"/>
  <c r="E285"/>
  <c r="K284"/>
  <c r="J284"/>
  <c r="I284"/>
  <c r="H284"/>
  <c r="E284"/>
  <c r="J283"/>
  <c r="I283"/>
  <c r="K283" s="1"/>
  <c r="H283"/>
  <c r="E283"/>
  <c r="J282"/>
  <c r="K282" s="1"/>
  <c r="I282"/>
  <c r="H282"/>
  <c r="E282"/>
  <c r="K281"/>
  <c r="J281"/>
  <c r="I281"/>
  <c r="H281"/>
  <c r="E281"/>
  <c r="K280"/>
  <c r="J280"/>
  <c r="I280"/>
  <c r="H280"/>
  <c r="E280"/>
  <c r="J279"/>
  <c r="I279"/>
  <c r="K279" s="1"/>
  <c r="H279"/>
  <c r="E279"/>
  <c r="J278"/>
  <c r="K278" s="1"/>
  <c r="I278"/>
  <c r="H278"/>
  <c r="E278"/>
  <c r="K277"/>
  <c r="J277"/>
  <c r="I277"/>
  <c r="H277"/>
  <c r="E277"/>
  <c r="K276"/>
  <c r="J276"/>
  <c r="I276"/>
  <c r="H276"/>
  <c r="E276"/>
  <c r="J275"/>
  <c r="I275"/>
  <c r="K275" s="1"/>
  <c r="H275"/>
  <c r="E275"/>
  <c r="J274"/>
  <c r="K274" s="1"/>
  <c r="I274"/>
  <c r="H274"/>
  <c r="E274"/>
  <c r="K273"/>
  <c r="J273"/>
  <c r="I273"/>
  <c r="H273"/>
  <c r="E273"/>
  <c r="K272"/>
  <c r="J272"/>
  <c r="I272"/>
  <c r="H272"/>
  <c r="E272"/>
  <c r="J271"/>
  <c r="I271"/>
  <c r="K271" s="1"/>
  <c r="H271"/>
  <c r="E271"/>
  <c r="J270"/>
  <c r="K270" s="1"/>
  <c r="I270"/>
  <c r="H270"/>
  <c r="E270"/>
  <c r="K269"/>
  <c r="J269"/>
  <c r="I269"/>
  <c r="H269"/>
  <c r="E269"/>
  <c r="K268"/>
  <c r="J268"/>
  <c r="I268"/>
  <c r="H268"/>
  <c r="E268"/>
  <c r="J267"/>
  <c r="I267"/>
  <c r="K267" s="1"/>
  <c r="H267"/>
  <c r="E267"/>
  <c r="J266"/>
  <c r="K266" s="1"/>
  <c r="I266"/>
  <c r="H266"/>
  <c r="E266"/>
  <c r="K265"/>
  <c r="J265"/>
  <c r="I265"/>
  <c r="H265"/>
  <c r="E265"/>
  <c r="K264"/>
  <c r="J264"/>
  <c r="I264"/>
  <c r="H264"/>
  <c r="E264"/>
  <c r="J263"/>
  <c r="I263"/>
  <c r="K263" s="1"/>
  <c r="H263"/>
  <c r="E263"/>
  <c r="J262"/>
  <c r="K262" s="1"/>
  <c r="I262"/>
  <c r="H262"/>
  <c r="E262"/>
  <c r="K261"/>
  <c r="J261"/>
  <c r="I261"/>
  <c r="H261"/>
  <c r="E261"/>
  <c r="K260"/>
  <c r="J260"/>
  <c r="I260"/>
  <c r="H260"/>
  <c r="E260"/>
  <c r="J259"/>
  <c r="I259"/>
  <c r="K259" s="1"/>
  <c r="H259"/>
  <c r="E259"/>
  <c r="J258"/>
  <c r="K258" s="1"/>
  <c r="I258"/>
  <c r="H258"/>
  <c r="E258"/>
  <c r="K257"/>
  <c r="J257"/>
  <c r="I257"/>
  <c r="H257"/>
  <c r="E257"/>
  <c r="K256"/>
  <c r="J256"/>
  <c r="I256"/>
  <c r="H256"/>
  <c r="E256"/>
  <c r="J255"/>
  <c r="I255"/>
  <c r="K255" s="1"/>
  <c r="H255"/>
  <c r="E255"/>
  <c r="J254"/>
  <c r="K254" s="1"/>
  <c r="I254"/>
  <c r="H254"/>
  <c r="E254"/>
  <c r="K253"/>
  <c r="J253"/>
  <c r="I253"/>
  <c r="H253"/>
  <c r="E253"/>
  <c r="K252"/>
  <c r="J252"/>
  <c r="I252"/>
  <c r="H252"/>
  <c r="E252"/>
  <c r="J251"/>
  <c r="I251"/>
  <c r="K251" s="1"/>
  <c r="H251"/>
  <c r="E251"/>
  <c r="J250"/>
  <c r="K250" s="1"/>
  <c r="I250"/>
  <c r="H250"/>
  <c r="E250"/>
  <c r="K249"/>
  <c r="J249"/>
  <c r="I249"/>
  <c r="H249"/>
  <c r="E249"/>
  <c r="K248"/>
  <c r="J248"/>
  <c r="I248"/>
  <c r="H248"/>
  <c r="E248"/>
  <c r="J247"/>
  <c r="I247"/>
  <c r="K247" s="1"/>
  <c r="H247"/>
  <c r="E247"/>
  <c r="J246"/>
  <c r="K246" s="1"/>
  <c r="I246"/>
  <c r="H246"/>
  <c r="E246"/>
  <c r="K245"/>
  <c r="J245"/>
  <c r="I245"/>
  <c r="H245"/>
  <c r="E245"/>
  <c r="K244"/>
  <c r="J244"/>
  <c r="I244"/>
  <c r="H244"/>
  <c r="E244"/>
  <c r="J243"/>
  <c r="I243"/>
  <c r="K243" s="1"/>
  <c r="H243"/>
  <c r="E243"/>
  <c r="J242"/>
  <c r="K242" s="1"/>
  <c r="I242"/>
  <c r="H242"/>
  <c r="E242"/>
  <c r="K241"/>
  <c r="J241"/>
  <c r="I241"/>
  <c r="H241"/>
  <c r="E241"/>
  <c r="K240"/>
  <c r="J240"/>
  <c r="I240"/>
  <c r="H240"/>
  <c r="E240"/>
  <c r="H236"/>
  <c r="F236"/>
  <c r="E236"/>
  <c r="D236"/>
  <c r="C236"/>
  <c r="J235"/>
  <c r="K235" s="1"/>
  <c r="I235"/>
  <c r="H235"/>
  <c r="E235"/>
  <c r="K234"/>
  <c r="J234"/>
  <c r="I234"/>
  <c r="H234"/>
  <c r="E234"/>
  <c r="K233"/>
  <c r="J233"/>
  <c r="I233"/>
  <c r="H233"/>
  <c r="E233"/>
  <c r="I232"/>
  <c r="I236" s="1"/>
  <c r="H232"/>
  <c r="G232"/>
  <c r="J232" s="1"/>
  <c r="E232"/>
  <c r="K231"/>
  <c r="J231"/>
  <c r="I231"/>
  <c r="H231"/>
  <c r="E231"/>
  <c r="H229"/>
  <c r="G229"/>
  <c r="G237" s="1"/>
  <c r="F229"/>
  <c r="F237" s="1"/>
  <c r="F632" s="1"/>
  <c r="D229"/>
  <c r="E229" s="1"/>
  <c r="C229"/>
  <c r="C237" s="1"/>
  <c r="C632" s="1"/>
  <c r="J228"/>
  <c r="I228"/>
  <c r="K228" s="1"/>
  <c r="H228"/>
  <c r="E228"/>
  <c r="J227"/>
  <c r="K227" s="1"/>
  <c r="I227"/>
  <c r="H227"/>
  <c r="E227"/>
  <c r="K226"/>
  <c r="J226"/>
  <c r="I226"/>
  <c r="H226"/>
  <c r="E226"/>
  <c r="K225"/>
  <c r="J225"/>
  <c r="I225"/>
  <c r="H225"/>
  <c r="E225"/>
  <c r="J224"/>
  <c r="I224"/>
  <c r="K224" s="1"/>
  <c r="H224"/>
  <c r="E224"/>
  <c r="J223"/>
  <c r="K223" s="1"/>
  <c r="I223"/>
  <c r="H223"/>
  <c r="E223"/>
  <c r="K222"/>
  <c r="J222"/>
  <c r="I222"/>
  <c r="H222"/>
  <c r="E222"/>
  <c r="K221"/>
  <c r="J221"/>
  <c r="I221"/>
  <c r="H221"/>
  <c r="E221"/>
  <c r="J220"/>
  <c r="I220"/>
  <c r="K220" s="1"/>
  <c r="H220"/>
  <c r="E220"/>
  <c r="J219"/>
  <c r="K219" s="1"/>
  <c r="I219"/>
  <c r="H219"/>
  <c r="E219"/>
  <c r="K218"/>
  <c r="J218"/>
  <c r="I218"/>
  <c r="H218"/>
  <c r="E218"/>
  <c r="K217"/>
  <c r="J217"/>
  <c r="I217"/>
  <c r="H217"/>
  <c r="E217"/>
  <c r="J216"/>
  <c r="I216"/>
  <c r="K216" s="1"/>
  <c r="H216"/>
  <c r="E216"/>
  <c r="J215"/>
  <c r="K215" s="1"/>
  <c r="I215"/>
  <c r="H215"/>
  <c r="E215"/>
  <c r="K214"/>
  <c r="J214"/>
  <c r="I214"/>
  <c r="H214"/>
  <c r="E214"/>
  <c r="K213"/>
  <c r="J213"/>
  <c r="I213"/>
  <c r="H213"/>
  <c r="E213"/>
  <c r="I212"/>
  <c r="H212"/>
  <c r="G212"/>
  <c r="J212" s="1"/>
  <c r="K212" s="1"/>
  <c r="E212"/>
  <c r="K211"/>
  <c r="J211"/>
  <c r="I211"/>
  <c r="H211"/>
  <c r="E211"/>
  <c r="K210"/>
  <c r="J210"/>
  <c r="I210"/>
  <c r="H210"/>
  <c r="E210"/>
  <c r="J209"/>
  <c r="I209"/>
  <c r="K209" s="1"/>
  <c r="H209"/>
  <c r="E209"/>
  <c r="J208"/>
  <c r="K208" s="1"/>
  <c r="I208"/>
  <c r="H208"/>
  <c r="E208"/>
  <c r="K207"/>
  <c r="J207"/>
  <c r="I207"/>
  <c r="H207"/>
  <c r="E207"/>
  <c r="K206"/>
  <c r="J206"/>
  <c r="I206"/>
  <c r="H206"/>
  <c r="E206"/>
  <c r="J205"/>
  <c r="I205"/>
  <c r="K205" s="1"/>
  <c r="H205"/>
  <c r="E205"/>
  <c r="J204"/>
  <c r="K204" s="1"/>
  <c r="I204"/>
  <c r="H204"/>
  <c r="E204"/>
  <c r="K203"/>
  <c r="J203"/>
  <c r="I203"/>
  <c r="H203"/>
  <c r="E203"/>
  <c r="K202"/>
  <c r="J202"/>
  <c r="I202"/>
  <c r="H202"/>
  <c r="E202"/>
  <c r="J201"/>
  <c r="I201"/>
  <c r="K201" s="1"/>
  <c r="H201"/>
  <c r="E201"/>
  <c r="J200"/>
  <c r="K200" s="1"/>
  <c r="I200"/>
  <c r="H200"/>
  <c r="E200"/>
  <c r="K199"/>
  <c r="J199"/>
  <c r="I199"/>
  <c r="H199"/>
  <c r="E199"/>
  <c r="K198"/>
  <c r="J198"/>
  <c r="I198"/>
  <c r="H198"/>
  <c r="E198"/>
  <c r="J197"/>
  <c r="I197"/>
  <c r="K197" s="1"/>
  <c r="H197"/>
  <c r="E197"/>
  <c r="J196"/>
  <c r="K196" s="1"/>
  <c r="I196"/>
  <c r="H196"/>
  <c r="E196"/>
  <c r="K195"/>
  <c r="J195"/>
  <c r="I195"/>
  <c r="H195"/>
  <c r="E195"/>
  <c r="K194"/>
  <c r="J194"/>
  <c r="I194"/>
  <c r="H194"/>
  <c r="E194"/>
  <c r="J193"/>
  <c r="I193"/>
  <c r="K193" s="1"/>
  <c r="H193"/>
  <c r="E193"/>
  <c r="J192"/>
  <c r="K192" s="1"/>
  <c r="I192"/>
  <c r="H192"/>
  <c r="E192"/>
  <c r="K191"/>
  <c r="J191"/>
  <c r="I191"/>
  <c r="H191"/>
  <c r="E191"/>
  <c r="K190"/>
  <c r="J190"/>
  <c r="I190"/>
  <c r="H190"/>
  <c r="E190"/>
  <c r="J189"/>
  <c r="I189"/>
  <c r="K189" s="1"/>
  <c r="H189"/>
  <c r="E189"/>
  <c r="J188"/>
  <c r="K188" s="1"/>
  <c r="I188"/>
  <c r="H188"/>
  <c r="E188"/>
  <c r="K187"/>
  <c r="J187"/>
  <c r="I187"/>
  <c r="H187"/>
  <c r="E187"/>
  <c r="K186"/>
  <c r="J186"/>
  <c r="I186"/>
  <c r="H186"/>
  <c r="E186"/>
  <c r="J185"/>
  <c r="I185"/>
  <c r="K185" s="1"/>
  <c r="H185"/>
  <c r="E185"/>
  <c r="J184"/>
  <c r="K184" s="1"/>
  <c r="I184"/>
  <c r="H184"/>
  <c r="E184"/>
  <c r="K183"/>
  <c r="J183"/>
  <c r="I183"/>
  <c r="H183"/>
  <c r="E183"/>
  <c r="K182"/>
  <c r="J182"/>
  <c r="I182"/>
  <c r="H182"/>
  <c r="E182"/>
  <c r="J181"/>
  <c r="I181"/>
  <c r="K181" s="1"/>
  <c r="H181"/>
  <c r="E181"/>
  <c r="J180"/>
  <c r="K180" s="1"/>
  <c r="I180"/>
  <c r="H180"/>
  <c r="E180"/>
  <c r="K179"/>
  <c r="J179"/>
  <c r="I179"/>
  <c r="H179"/>
  <c r="E179"/>
  <c r="K178"/>
  <c r="J178"/>
  <c r="J229" s="1"/>
  <c r="I178"/>
  <c r="H178"/>
  <c r="E178"/>
  <c r="D167"/>
  <c r="E166"/>
  <c r="D166"/>
  <c r="C166"/>
  <c r="C167" s="1"/>
  <c r="E167" s="1"/>
  <c r="K165"/>
  <c r="J165"/>
  <c r="I165"/>
  <c r="E165"/>
  <c r="K164"/>
  <c r="J164"/>
  <c r="I164"/>
  <c r="E164"/>
  <c r="K163"/>
  <c r="J163"/>
  <c r="I163"/>
  <c r="E163"/>
  <c r="K162"/>
  <c r="J162"/>
  <c r="I162"/>
  <c r="E162"/>
  <c r="K161"/>
  <c r="J161"/>
  <c r="I161"/>
  <c r="E161"/>
  <c r="K160"/>
  <c r="J160"/>
  <c r="I160"/>
  <c r="E160"/>
  <c r="K159"/>
  <c r="J159"/>
  <c r="I159"/>
  <c r="E159"/>
  <c r="K158"/>
  <c r="J158"/>
  <c r="I158"/>
  <c r="E158"/>
  <c r="K157"/>
  <c r="J157"/>
  <c r="I157"/>
  <c r="E157"/>
  <c r="K156"/>
  <c r="J156"/>
  <c r="I156"/>
  <c r="E156"/>
  <c r="K155"/>
  <c r="J155"/>
  <c r="I155"/>
  <c r="G155"/>
  <c r="E155"/>
  <c r="K154"/>
  <c r="J154"/>
  <c r="I154"/>
  <c r="E154"/>
  <c r="K153"/>
  <c r="J153"/>
  <c r="I153"/>
  <c r="E153"/>
  <c r="K152"/>
  <c r="J152"/>
  <c r="I152"/>
  <c r="E152"/>
  <c r="K151"/>
  <c r="J151"/>
  <c r="I151"/>
  <c r="E151"/>
  <c r="K150"/>
  <c r="J150"/>
  <c r="I150"/>
  <c r="E150"/>
  <c r="K149"/>
  <c r="J149"/>
  <c r="I149"/>
  <c r="E149"/>
  <c r="K148"/>
  <c r="J148"/>
  <c r="I148"/>
  <c r="E148"/>
  <c r="K147"/>
  <c r="J147"/>
  <c r="I147"/>
  <c r="E147"/>
  <c r="K146"/>
  <c r="J146"/>
  <c r="I146"/>
  <c r="E146"/>
  <c r="K145"/>
  <c r="J145"/>
  <c r="I145"/>
  <c r="E145"/>
  <c r="K144"/>
  <c r="J144"/>
  <c r="I144"/>
  <c r="E144"/>
  <c r="K143"/>
  <c r="J143"/>
  <c r="I143"/>
  <c r="E143"/>
  <c r="K142"/>
  <c r="J142"/>
  <c r="I142"/>
  <c r="E142"/>
  <c r="K141"/>
  <c r="J141"/>
  <c r="I141"/>
  <c r="E141"/>
  <c r="K140"/>
  <c r="J140"/>
  <c r="I140"/>
  <c r="E140"/>
  <c r="K139"/>
  <c r="J139"/>
  <c r="I139"/>
  <c r="E139"/>
  <c r="K138"/>
  <c r="J138"/>
  <c r="I138"/>
  <c r="E138"/>
  <c r="K137"/>
  <c r="J137"/>
  <c r="I137"/>
  <c r="E137"/>
  <c r="K136"/>
  <c r="J136"/>
  <c r="I136"/>
  <c r="E136"/>
  <c r="K135"/>
  <c r="J135"/>
  <c r="I135"/>
  <c r="E135"/>
  <c r="K134"/>
  <c r="J134"/>
  <c r="I134"/>
  <c r="E134"/>
  <c r="K133"/>
  <c r="J133"/>
  <c r="I133"/>
  <c r="E133"/>
  <c r="K132"/>
  <c r="J132"/>
  <c r="I132"/>
  <c r="E132"/>
  <c r="J131"/>
  <c r="F131"/>
  <c r="I131" s="1"/>
  <c r="K131" s="1"/>
  <c r="E131"/>
  <c r="J130"/>
  <c r="K130" s="1"/>
  <c r="I130"/>
  <c r="E130"/>
  <c r="J129"/>
  <c r="K129" s="1"/>
  <c r="I129"/>
  <c r="E129"/>
  <c r="J128"/>
  <c r="K128" s="1"/>
  <c r="I128"/>
  <c r="E128"/>
  <c r="J127"/>
  <c r="K127" s="1"/>
  <c r="I127"/>
  <c r="E127"/>
  <c r="I126"/>
  <c r="G126"/>
  <c r="J126" s="1"/>
  <c r="K126" s="1"/>
  <c r="E126"/>
  <c r="J125"/>
  <c r="K125" s="1"/>
  <c r="I125"/>
  <c r="E125"/>
  <c r="J124"/>
  <c r="K124" s="1"/>
  <c r="I124"/>
  <c r="E124"/>
  <c r="J123"/>
  <c r="K123" s="1"/>
  <c r="I123"/>
  <c r="E123"/>
  <c r="J122"/>
  <c r="K122" s="1"/>
  <c r="I122"/>
  <c r="E122"/>
  <c r="J121"/>
  <c r="K121" s="1"/>
  <c r="I121"/>
  <c r="E121"/>
  <c r="J120"/>
  <c r="K120" s="1"/>
  <c r="I120"/>
  <c r="E120"/>
  <c r="J119"/>
  <c r="K119" s="1"/>
  <c r="I119"/>
  <c r="E119"/>
  <c r="J118"/>
  <c r="K118" s="1"/>
  <c r="I118"/>
  <c r="E118"/>
  <c r="J117"/>
  <c r="K117" s="1"/>
  <c r="I117"/>
  <c r="E117"/>
  <c r="J116"/>
  <c r="K116" s="1"/>
  <c r="I116"/>
  <c r="E116"/>
  <c r="J115"/>
  <c r="K115" s="1"/>
  <c r="I115"/>
  <c r="E115"/>
  <c r="J114"/>
  <c r="K114" s="1"/>
  <c r="I114"/>
  <c r="E114"/>
  <c r="J113"/>
  <c r="K113" s="1"/>
  <c r="I113"/>
  <c r="E113"/>
  <c r="J112"/>
  <c r="K112" s="1"/>
  <c r="I112"/>
  <c r="E112"/>
  <c r="J111"/>
  <c r="K111" s="1"/>
  <c r="I111"/>
  <c r="E111"/>
  <c r="J110"/>
  <c r="K110" s="1"/>
  <c r="I110"/>
  <c r="G110"/>
  <c r="E110"/>
  <c r="K109"/>
  <c r="J109"/>
  <c r="I109"/>
  <c r="E109"/>
  <c r="K108"/>
  <c r="J108"/>
  <c r="I108"/>
  <c r="G108"/>
  <c r="E108"/>
  <c r="I107"/>
  <c r="G107"/>
  <c r="J107" s="1"/>
  <c r="K107" s="1"/>
  <c r="E107"/>
  <c r="I106"/>
  <c r="G106"/>
  <c r="J106" s="1"/>
  <c r="K106" s="1"/>
  <c r="E106"/>
  <c r="J105"/>
  <c r="K105" s="1"/>
  <c r="I105"/>
  <c r="E105"/>
  <c r="J104"/>
  <c r="K104" s="1"/>
  <c r="I104"/>
  <c r="E104"/>
  <c r="J103"/>
  <c r="K103" s="1"/>
  <c r="I103"/>
  <c r="E103"/>
  <c r="J102"/>
  <c r="K102" s="1"/>
  <c r="I102"/>
  <c r="E102"/>
  <c r="J101"/>
  <c r="K101" s="1"/>
  <c r="I101"/>
  <c r="E101"/>
  <c r="J100"/>
  <c r="K100" s="1"/>
  <c r="I100"/>
  <c r="E100"/>
  <c r="J99"/>
  <c r="K99" s="1"/>
  <c r="I99"/>
  <c r="E99"/>
  <c r="J98"/>
  <c r="K98" s="1"/>
  <c r="I98"/>
  <c r="E98"/>
  <c r="J97"/>
  <c r="K97" s="1"/>
  <c r="I97"/>
  <c r="E97"/>
  <c r="J96"/>
  <c r="K96" s="1"/>
  <c r="I96"/>
  <c r="E96"/>
  <c r="J95"/>
  <c r="K95" s="1"/>
  <c r="I95"/>
  <c r="E95"/>
  <c r="J94"/>
  <c r="K94" s="1"/>
  <c r="I94"/>
  <c r="E94"/>
  <c r="J93"/>
  <c r="K93" s="1"/>
  <c r="I93"/>
  <c r="E93"/>
  <c r="J92"/>
  <c r="K92" s="1"/>
  <c r="I92"/>
  <c r="E92"/>
  <c r="J91"/>
  <c r="K91" s="1"/>
  <c r="I91"/>
  <c r="E91"/>
  <c r="J90"/>
  <c r="K90" s="1"/>
  <c r="I90"/>
  <c r="E90"/>
  <c r="J89"/>
  <c r="K89" s="1"/>
  <c r="I89"/>
  <c r="E89"/>
  <c r="J88"/>
  <c r="K88" s="1"/>
  <c r="I88"/>
  <c r="E88"/>
  <c r="J87"/>
  <c r="K87" s="1"/>
  <c r="I87"/>
  <c r="E87"/>
  <c r="J86"/>
  <c r="K86" s="1"/>
  <c r="I86"/>
  <c r="E86"/>
  <c r="J85"/>
  <c r="K85" s="1"/>
  <c r="I85"/>
  <c r="E85"/>
  <c r="J84"/>
  <c r="K84" s="1"/>
  <c r="I84"/>
  <c r="E84"/>
  <c r="J83"/>
  <c r="K83" s="1"/>
  <c r="I83"/>
  <c r="E83"/>
  <c r="J82"/>
  <c r="K82" s="1"/>
  <c r="I82"/>
  <c r="E82"/>
  <c r="J81"/>
  <c r="K81" s="1"/>
  <c r="I81"/>
  <c r="E81"/>
  <c r="J80"/>
  <c r="K80" s="1"/>
  <c r="I80"/>
  <c r="G80"/>
  <c r="E80"/>
  <c r="K79"/>
  <c r="J79"/>
  <c r="I79"/>
  <c r="E79"/>
  <c r="K78"/>
  <c r="J78"/>
  <c r="I78"/>
  <c r="G78"/>
  <c r="E78"/>
  <c r="K77"/>
  <c r="J77"/>
  <c r="I77"/>
  <c r="E77"/>
  <c r="K76"/>
  <c r="J76"/>
  <c r="I76"/>
  <c r="E76"/>
  <c r="K75"/>
  <c r="J75"/>
  <c r="I75"/>
  <c r="E75"/>
  <c r="K74"/>
  <c r="J74"/>
  <c r="I74"/>
  <c r="E74"/>
  <c r="K73"/>
  <c r="J73"/>
  <c r="I73"/>
  <c r="E73"/>
  <c r="K72"/>
  <c r="J72"/>
  <c r="I72"/>
  <c r="E72"/>
  <c r="K71"/>
  <c r="J71"/>
  <c r="I71"/>
  <c r="E71"/>
  <c r="K70"/>
  <c r="J70"/>
  <c r="I70"/>
  <c r="E70"/>
  <c r="K69"/>
  <c r="J69"/>
  <c r="I69"/>
  <c r="E69"/>
  <c r="K68"/>
  <c r="J68"/>
  <c r="I68"/>
  <c r="E68"/>
  <c r="K67"/>
  <c r="J67"/>
  <c r="I67"/>
  <c r="E67"/>
  <c r="K66"/>
  <c r="J66"/>
  <c r="I66"/>
  <c r="E66"/>
  <c r="K65"/>
  <c r="J65"/>
  <c r="I65"/>
  <c r="E65"/>
  <c r="K64"/>
  <c r="J64"/>
  <c r="I64"/>
  <c r="E64"/>
  <c r="K63"/>
  <c r="J63"/>
  <c r="I63"/>
  <c r="E63"/>
  <c r="K62"/>
  <c r="J62"/>
  <c r="I62"/>
  <c r="E62"/>
  <c r="K61"/>
  <c r="J61"/>
  <c r="I61"/>
  <c r="E61"/>
  <c r="K60"/>
  <c r="J60"/>
  <c r="I60"/>
  <c r="E60"/>
  <c r="K59"/>
  <c r="J59"/>
  <c r="I59"/>
  <c r="E59"/>
  <c r="I58"/>
  <c r="G58"/>
  <c r="J58" s="1"/>
  <c r="K58" s="1"/>
  <c r="E58"/>
  <c r="I57"/>
  <c r="G57"/>
  <c r="J57" s="1"/>
  <c r="K57" s="1"/>
  <c r="E57"/>
  <c r="J56"/>
  <c r="K56" s="1"/>
  <c r="I56"/>
  <c r="E56"/>
  <c r="J55"/>
  <c r="K55" s="1"/>
  <c r="I55"/>
  <c r="E55"/>
  <c r="J54"/>
  <c r="K54" s="1"/>
  <c r="I54"/>
  <c r="E54"/>
  <c r="J53"/>
  <c r="K53" s="1"/>
  <c r="I53"/>
  <c r="E53"/>
  <c r="J52"/>
  <c r="K52" s="1"/>
  <c r="I52"/>
  <c r="G52"/>
  <c r="E52"/>
  <c r="K51"/>
  <c r="J51"/>
  <c r="I51"/>
  <c r="E51"/>
  <c r="K50"/>
  <c r="J50"/>
  <c r="I50"/>
  <c r="E50"/>
  <c r="K49"/>
  <c r="J49"/>
  <c r="I49"/>
  <c r="E49"/>
  <c r="K48"/>
  <c r="J48"/>
  <c r="I48"/>
  <c r="E48"/>
  <c r="K47"/>
  <c r="J47"/>
  <c r="I47"/>
  <c r="E47"/>
  <c r="K46"/>
  <c r="J46"/>
  <c r="I46"/>
  <c r="E46"/>
  <c r="K45"/>
  <c r="J45"/>
  <c r="I45"/>
  <c r="E45"/>
  <c r="K44"/>
  <c r="J44"/>
  <c r="I44"/>
  <c r="E44"/>
  <c r="K43"/>
  <c r="J43"/>
  <c r="I43"/>
  <c r="E43"/>
  <c r="K42"/>
  <c r="J42"/>
  <c r="I42"/>
  <c r="E42"/>
  <c r="K41"/>
  <c r="J41"/>
  <c r="I41"/>
  <c r="E41"/>
  <c r="K40"/>
  <c r="J40"/>
  <c r="I40"/>
  <c r="E40"/>
  <c r="K39"/>
  <c r="J39"/>
  <c r="I39"/>
  <c r="E39"/>
  <c r="K38"/>
  <c r="J38"/>
  <c r="I38"/>
  <c r="E38"/>
  <c r="K37"/>
  <c r="J37"/>
  <c r="I37"/>
  <c r="E37"/>
  <c r="K36"/>
  <c r="J36"/>
  <c r="I36"/>
  <c r="G36"/>
  <c r="E36"/>
  <c r="K35"/>
  <c r="J35"/>
  <c r="I35"/>
  <c r="E35"/>
  <c r="I34"/>
  <c r="G34"/>
  <c r="J34" s="1"/>
  <c r="K34" s="1"/>
  <c r="E34"/>
  <c r="J33"/>
  <c r="K33" s="1"/>
  <c r="I33"/>
  <c r="E33"/>
  <c r="J32"/>
  <c r="K32" s="1"/>
  <c r="I32"/>
  <c r="E32"/>
  <c r="J31"/>
  <c r="K31" s="1"/>
  <c r="I31"/>
  <c r="E31"/>
  <c r="J30"/>
  <c r="K30" s="1"/>
  <c r="I30"/>
  <c r="E30"/>
  <c r="I29"/>
  <c r="G29"/>
  <c r="J29" s="1"/>
  <c r="K29" s="1"/>
  <c r="E29"/>
  <c r="J28"/>
  <c r="K28" s="1"/>
  <c r="I28"/>
  <c r="F28"/>
  <c r="E28"/>
  <c r="K27"/>
  <c r="J27"/>
  <c r="I27"/>
  <c r="E27"/>
  <c r="K26"/>
  <c r="J26"/>
  <c r="I26"/>
  <c r="E26"/>
  <c r="K25"/>
  <c r="J25"/>
  <c r="I25"/>
  <c r="E25"/>
  <c r="K24"/>
  <c r="J24"/>
  <c r="I24"/>
  <c r="G24"/>
  <c r="E24"/>
  <c r="K23"/>
  <c r="J23"/>
  <c r="I23"/>
  <c r="E23"/>
  <c r="I22"/>
  <c r="G22"/>
  <c r="J22" s="1"/>
  <c r="K22" s="1"/>
  <c r="E22"/>
  <c r="J21"/>
  <c r="K21" s="1"/>
  <c r="I21"/>
  <c r="E21"/>
  <c r="I20"/>
  <c r="G20"/>
  <c r="J20" s="1"/>
  <c r="K20" s="1"/>
  <c r="E20"/>
  <c r="J19"/>
  <c r="K19" s="1"/>
  <c r="I19"/>
  <c r="E19"/>
  <c r="J18"/>
  <c r="K18" s="1"/>
  <c r="I18"/>
  <c r="E18"/>
  <c r="J17"/>
  <c r="K17" s="1"/>
  <c r="I17"/>
  <c r="I166" s="1"/>
  <c r="I167" s="1"/>
  <c r="G17"/>
  <c r="G166" s="1"/>
  <c r="E17"/>
  <c r="K16"/>
  <c r="J16"/>
  <c r="I16"/>
  <c r="E16"/>
  <c r="K15"/>
  <c r="J15"/>
  <c r="I15"/>
  <c r="E15"/>
  <c r="K14"/>
  <c r="J14"/>
  <c r="I14"/>
  <c r="E14"/>
  <c r="K13"/>
  <c r="J13"/>
  <c r="I13"/>
  <c r="E13"/>
  <c r="K12"/>
  <c r="J12"/>
  <c r="I12"/>
  <c r="E12"/>
  <c r="K11"/>
  <c r="J11"/>
  <c r="I11"/>
  <c r="E11"/>
  <c r="K10"/>
  <c r="J10"/>
  <c r="I10"/>
  <c r="E10"/>
  <c r="K9"/>
  <c r="J9"/>
  <c r="I9"/>
  <c r="E9"/>
  <c r="J4052" l="1"/>
  <c r="K4052" s="1"/>
  <c r="K4024"/>
  <c r="K4051"/>
  <c r="J4053"/>
  <c r="H4052"/>
  <c r="I4053"/>
  <c r="H4053"/>
  <c r="E4051"/>
  <c r="J4001"/>
  <c r="K4001" s="1"/>
  <c r="I4001"/>
  <c r="J3937"/>
  <c r="K3869"/>
  <c r="H3951"/>
  <c r="J3830"/>
  <c r="K3830" s="1"/>
  <c r="H3758"/>
  <c r="G3759"/>
  <c r="H3759" s="1"/>
  <c r="I3758"/>
  <c r="C3759"/>
  <c r="I3759" s="1"/>
  <c r="D3758"/>
  <c r="D3759" s="1"/>
  <c r="E3719"/>
  <c r="J3757"/>
  <c r="K3757" s="1"/>
  <c r="G3668"/>
  <c r="H3668" s="1"/>
  <c r="H3611"/>
  <c r="J3357"/>
  <c r="D3668"/>
  <c r="D3670" s="1"/>
  <c r="E3611"/>
  <c r="G3669"/>
  <c r="H3669" s="1"/>
  <c r="H3357"/>
  <c r="J3521"/>
  <c r="K3521" s="1"/>
  <c r="I3611"/>
  <c r="I3668" s="1"/>
  <c r="J3667"/>
  <c r="J3390"/>
  <c r="K3390" s="1"/>
  <c r="J3500"/>
  <c r="K3500" s="1"/>
  <c r="J3602"/>
  <c r="K3602" s="1"/>
  <c r="I3667"/>
  <c r="J3367"/>
  <c r="K3367" s="1"/>
  <c r="H3488"/>
  <c r="H3535"/>
  <c r="E3573"/>
  <c r="H3576"/>
  <c r="H3599"/>
  <c r="I3323"/>
  <c r="I3357" s="1"/>
  <c r="I3669" s="1"/>
  <c r="I3356"/>
  <c r="K3356" s="1"/>
  <c r="K3013"/>
  <c r="J3015"/>
  <c r="K3015" s="1"/>
  <c r="K2906"/>
  <c r="I3014"/>
  <c r="I3016" s="1"/>
  <c r="H2996"/>
  <c r="J2996"/>
  <c r="K2996" s="1"/>
  <c r="G3014"/>
  <c r="C3016"/>
  <c r="F3016"/>
  <c r="K2796"/>
  <c r="H2940"/>
  <c r="H2943"/>
  <c r="K2998"/>
  <c r="G3015"/>
  <c r="H3015" s="1"/>
  <c r="G3016"/>
  <c r="H2740"/>
  <c r="G2784"/>
  <c r="H2784" s="1"/>
  <c r="D2785"/>
  <c r="E2785" s="1"/>
  <c r="G2785"/>
  <c r="H2785" s="1"/>
  <c r="I2740"/>
  <c r="I2784" s="1"/>
  <c r="J2699"/>
  <c r="K2699" s="1"/>
  <c r="J2705"/>
  <c r="K2705" s="1"/>
  <c r="H2672"/>
  <c r="H2711"/>
  <c r="J2740"/>
  <c r="E2783"/>
  <c r="I2783"/>
  <c r="I2785" s="1"/>
  <c r="J2621"/>
  <c r="K2621" s="1"/>
  <c r="E2305"/>
  <c r="D2598"/>
  <c r="D2597"/>
  <c r="E2570"/>
  <c r="K2596"/>
  <c r="H2503"/>
  <c r="G2570"/>
  <c r="C2599"/>
  <c r="H2305"/>
  <c r="G2598"/>
  <c r="I2503"/>
  <c r="I2570" s="1"/>
  <c r="I2597" s="1"/>
  <c r="I2599" s="1"/>
  <c r="E2185"/>
  <c r="I2185"/>
  <c r="I2305" s="1"/>
  <c r="I2598" s="1"/>
  <c r="K2312"/>
  <c r="J2439"/>
  <c r="K2439" s="1"/>
  <c r="J2185"/>
  <c r="K2505"/>
  <c r="J2029"/>
  <c r="K2029" s="1"/>
  <c r="K1839"/>
  <c r="H2027"/>
  <c r="G2030"/>
  <c r="H2030" s="1"/>
  <c r="J2028"/>
  <c r="K2028" s="1"/>
  <c r="K1994"/>
  <c r="K2027"/>
  <c r="C2030"/>
  <c r="D2030"/>
  <c r="E2028"/>
  <c r="E1839"/>
  <c r="H1994"/>
  <c r="K1810"/>
  <c r="D1798"/>
  <c r="J1730"/>
  <c r="K1730" s="1"/>
  <c r="J1768"/>
  <c r="K1768" s="1"/>
  <c r="J1788"/>
  <c r="K1788" s="1"/>
  <c r="K1718"/>
  <c r="J1719"/>
  <c r="K1719" s="1"/>
  <c r="E1718"/>
  <c r="E1642"/>
  <c r="K1607"/>
  <c r="J1639"/>
  <c r="K1639" s="1"/>
  <c r="K1402"/>
  <c r="K1412"/>
  <c r="J1428"/>
  <c r="K1428" s="1"/>
  <c r="J1642"/>
  <c r="K1442"/>
  <c r="I1640"/>
  <c r="I1641" s="1"/>
  <c r="I1643" s="1"/>
  <c r="E1465"/>
  <c r="H1607"/>
  <c r="G1639"/>
  <c r="H1639" s="1"/>
  <c r="F1641"/>
  <c r="F1643" s="1"/>
  <c r="K1449"/>
  <c r="E1639"/>
  <c r="G1465"/>
  <c r="H1465" s="1"/>
  <c r="J1459"/>
  <c r="K1459" s="1"/>
  <c r="J1638"/>
  <c r="K1638" s="1"/>
  <c r="H1402"/>
  <c r="J1410"/>
  <c r="D1428"/>
  <c r="E1428" s="1"/>
  <c r="J1479"/>
  <c r="K1479" s="1"/>
  <c r="H1642"/>
  <c r="I1410"/>
  <c r="E1402"/>
  <c r="K1609"/>
  <c r="J1383"/>
  <c r="J1288"/>
  <c r="K1288" s="1"/>
  <c r="J1327"/>
  <c r="K1327" s="1"/>
  <c r="G1354"/>
  <c r="J1269"/>
  <c r="K1269" s="1"/>
  <c r="K1268"/>
  <c r="H1268"/>
  <c r="C1269"/>
  <c r="E1269" s="1"/>
  <c r="E992"/>
  <c r="D1191"/>
  <c r="E1191" s="1"/>
  <c r="G992"/>
  <c r="H991"/>
  <c r="C1192"/>
  <c r="G1190"/>
  <c r="H1189"/>
  <c r="J991"/>
  <c r="J901"/>
  <c r="I1189"/>
  <c r="I1190" s="1"/>
  <c r="F992"/>
  <c r="F1191" s="1"/>
  <c r="F1192" s="1"/>
  <c r="J1035"/>
  <c r="K1035" s="1"/>
  <c r="H932"/>
  <c r="I991"/>
  <c r="I992" s="1"/>
  <c r="I1191" s="1"/>
  <c r="K994"/>
  <c r="H1035"/>
  <c r="H1123"/>
  <c r="H1168"/>
  <c r="H1170"/>
  <c r="E1190"/>
  <c r="J932"/>
  <c r="K932" s="1"/>
  <c r="H799"/>
  <c r="G827"/>
  <c r="H827" s="1"/>
  <c r="I828"/>
  <c r="K826"/>
  <c r="J799"/>
  <c r="F828"/>
  <c r="H828" s="1"/>
  <c r="H787"/>
  <c r="E799"/>
  <c r="D827"/>
  <c r="J787"/>
  <c r="K787" s="1"/>
  <c r="K721"/>
  <c r="H723"/>
  <c r="I723"/>
  <c r="H722"/>
  <c r="C722"/>
  <c r="C723" s="1"/>
  <c r="H701"/>
  <c r="J701"/>
  <c r="H394"/>
  <c r="K630"/>
  <c r="H237"/>
  <c r="G632"/>
  <c r="H632" s="1"/>
  <c r="K232"/>
  <c r="J236"/>
  <c r="K236" s="1"/>
  <c r="E552"/>
  <c r="D631"/>
  <c r="E631" s="1"/>
  <c r="F633"/>
  <c r="J477"/>
  <c r="K477" s="1"/>
  <c r="C633"/>
  <c r="D237"/>
  <c r="G477"/>
  <c r="H477" s="1"/>
  <c r="I229"/>
  <c r="I237" s="1"/>
  <c r="I632" s="1"/>
  <c r="E477"/>
  <c r="K555"/>
  <c r="I394"/>
  <c r="I552" s="1"/>
  <c r="I631" s="1"/>
  <c r="I633" s="1"/>
  <c r="J371"/>
  <c r="K371" s="1"/>
  <c r="J166"/>
  <c r="K166" s="1"/>
  <c r="G167"/>
  <c r="H167" s="1"/>
  <c r="H166"/>
  <c r="F166"/>
  <c r="F167" s="1"/>
  <c r="K4053" l="1"/>
  <c r="J3952"/>
  <c r="K3952" s="1"/>
  <c r="K3937"/>
  <c r="E3759"/>
  <c r="J3759"/>
  <c r="K3759" s="1"/>
  <c r="E3758"/>
  <c r="J3758"/>
  <c r="K3758" s="1"/>
  <c r="I3670"/>
  <c r="G3670"/>
  <c r="H3670" s="1"/>
  <c r="K3323"/>
  <c r="K3667"/>
  <c r="K3357"/>
  <c r="J3669"/>
  <c r="K3669" s="1"/>
  <c r="J3611"/>
  <c r="H3014"/>
  <c r="J3014"/>
  <c r="H3016"/>
  <c r="K2740"/>
  <c r="J2784"/>
  <c r="K2783"/>
  <c r="K2185"/>
  <c r="J2305"/>
  <c r="H2570"/>
  <c r="G2597"/>
  <c r="G2599" s="1"/>
  <c r="D2599"/>
  <c r="J2503"/>
  <c r="E2030"/>
  <c r="J2030"/>
  <c r="K2030" s="1"/>
  <c r="E1798"/>
  <c r="D1799"/>
  <c r="J1798"/>
  <c r="K1798" s="1"/>
  <c r="K1642"/>
  <c r="J1517"/>
  <c r="K1517" s="1"/>
  <c r="J1465"/>
  <c r="K1465" s="1"/>
  <c r="G1641"/>
  <c r="G1640"/>
  <c r="H1640" s="1"/>
  <c r="K1410"/>
  <c r="D1640"/>
  <c r="H1354"/>
  <c r="G1384"/>
  <c r="J1354"/>
  <c r="K1383"/>
  <c r="H1190"/>
  <c r="H992"/>
  <c r="G1191"/>
  <c r="H1191" s="1"/>
  <c r="J992"/>
  <c r="K901"/>
  <c r="I1192"/>
  <c r="K991"/>
  <c r="D1192"/>
  <c r="E1192" s="1"/>
  <c r="J1189"/>
  <c r="J827"/>
  <c r="K799"/>
  <c r="K701"/>
  <c r="J722"/>
  <c r="D632"/>
  <c r="E237"/>
  <c r="K229"/>
  <c r="J237"/>
  <c r="J394"/>
  <c r="G552"/>
  <c r="J167"/>
  <c r="K167" s="1"/>
  <c r="K3611" l="1"/>
  <c r="J3668"/>
  <c r="K3014"/>
  <c r="J3016"/>
  <c r="K3016" s="1"/>
  <c r="K2784"/>
  <c r="J2785"/>
  <c r="K2785" s="1"/>
  <c r="J2598"/>
  <c r="K2598" s="1"/>
  <c r="K2305"/>
  <c r="K2503"/>
  <c r="J2570"/>
  <c r="E1799"/>
  <c r="J1799"/>
  <c r="K1799" s="1"/>
  <c r="H1641"/>
  <c r="G1643"/>
  <c r="H1643" s="1"/>
  <c r="E1640"/>
  <c r="D1641"/>
  <c r="J1640"/>
  <c r="H1384"/>
  <c r="G1385"/>
  <c r="H1385" s="1"/>
  <c r="K1354"/>
  <c r="J1384"/>
  <c r="J1190"/>
  <c r="K1189"/>
  <c r="J1191"/>
  <c r="K1191" s="1"/>
  <c r="K992"/>
  <c r="G1192"/>
  <c r="H1192" s="1"/>
  <c r="K827"/>
  <c r="J828"/>
  <c r="K828" s="1"/>
  <c r="K722"/>
  <c r="J723"/>
  <c r="K723" s="1"/>
  <c r="H552"/>
  <c r="G631"/>
  <c r="K394"/>
  <c r="J552"/>
  <c r="E632"/>
  <c r="D633"/>
  <c r="E633" s="1"/>
  <c r="K237"/>
  <c r="J632"/>
  <c r="K632" s="1"/>
  <c r="K3668" l="1"/>
  <c r="J3670"/>
  <c r="K3670" s="1"/>
  <c r="J2597"/>
  <c r="K2570"/>
  <c r="K1640"/>
  <c r="J1641"/>
  <c r="D1643"/>
  <c r="E1643" s="1"/>
  <c r="E1641"/>
  <c r="K1384"/>
  <c r="J1385"/>
  <c r="K1385" s="1"/>
  <c r="K1190"/>
  <c r="J1192"/>
  <c r="K1192" s="1"/>
  <c r="H631"/>
  <c r="G633"/>
  <c r="H633" s="1"/>
  <c r="J631"/>
  <c r="K552"/>
  <c r="K2597" l="1"/>
  <c r="J2599"/>
  <c r="K2599" s="1"/>
  <c r="K1641"/>
  <c r="J1643"/>
  <c r="K1643" s="1"/>
  <c r="K631"/>
  <c r="J633"/>
  <c r="K633" s="1"/>
  <c r="AC20" i="211" l="1"/>
  <c r="X10"/>
  <c r="X11"/>
  <c r="X12"/>
  <c r="X13"/>
  <c r="X14"/>
  <c r="X15"/>
  <c r="X16"/>
  <c r="X17"/>
  <c r="X18"/>
  <c r="X19"/>
  <c r="X20"/>
  <c r="Y10"/>
  <c r="Y11"/>
  <c r="Y12"/>
  <c r="Y13"/>
  <c r="Y14"/>
  <c r="Y15"/>
  <c r="Y16"/>
  <c r="Y17"/>
  <c r="Y18"/>
  <c r="Y19"/>
  <c r="Y20"/>
  <c r="Z10"/>
  <c r="Z11"/>
  <c r="Z12"/>
  <c r="Z13"/>
  <c r="Z14"/>
  <c r="Z15"/>
  <c r="Z16"/>
  <c r="Z17"/>
  <c r="Z18"/>
  <c r="Z19"/>
  <c r="Z20"/>
  <c r="AA10"/>
  <c r="AA11"/>
  <c r="AA12"/>
  <c r="AA13"/>
  <c r="AA14"/>
  <c r="AA15"/>
  <c r="AA16"/>
  <c r="AA17"/>
  <c r="AA18"/>
  <c r="AA19"/>
  <c r="AA20"/>
  <c r="AA9"/>
  <c r="Z9"/>
  <c r="Y9"/>
  <c r="X9"/>
  <c r="S14"/>
  <c r="R14"/>
  <c r="P14" s="1"/>
  <c r="Q14"/>
  <c r="P15"/>
  <c r="P16"/>
  <c r="P17"/>
  <c r="Q9"/>
  <c r="P9" s="1"/>
  <c r="P10"/>
  <c r="P11"/>
  <c r="P12"/>
  <c r="P18"/>
  <c r="P19"/>
  <c r="P20"/>
  <c r="O10"/>
  <c r="O11"/>
  <c r="O12"/>
  <c r="O13"/>
  <c r="O14"/>
  <c r="O15"/>
  <c r="O16"/>
  <c r="O17"/>
  <c r="O18"/>
  <c r="O19"/>
  <c r="O20"/>
  <c r="N9"/>
  <c r="M9"/>
  <c r="L9"/>
  <c r="E20"/>
  <c r="F20"/>
  <c r="G20"/>
  <c r="H20"/>
  <c r="I20"/>
  <c r="J20"/>
  <c r="K20"/>
  <c r="D20"/>
  <c r="F14"/>
  <c r="G14"/>
  <c r="E14"/>
  <c r="D15"/>
  <c r="D16"/>
  <c r="D17"/>
  <c r="D10"/>
  <c r="D11"/>
  <c r="D12"/>
  <c r="D13"/>
  <c r="D9"/>
  <c r="F9"/>
  <c r="G9"/>
  <c r="E9"/>
  <c r="M33" i="200"/>
  <c r="N33"/>
  <c r="L33"/>
  <c r="AB20" i="211"/>
  <c r="T12" i="213"/>
  <c r="T13"/>
  <c r="T14"/>
  <c r="T15"/>
  <c r="T16"/>
  <c r="T17"/>
  <c r="T11"/>
  <c r="Q12"/>
  <c r="Q13"/>
  <c r="Q14"/>
  <c r="Q15"/>
  <c r="Q16"/>
  <c r="Q17"/>
  <c r="Q11"/>
  <c r="N12"/>
  <c r="N13"/>
  <c r="N14"/>
  <c r="N15"/>
  <c r="N16"/>
  <c r="N17"/>
  <c r="N11"/>
  <c r="K17"/>
  <c r="K12"/>
  <c r="K13"/>
  <c r="K14"/>
  <c r="K15"/>
  <c r="K16"/>
  <c r="K11"/>
  <c r="J8" i="20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D14" i="211" l="1"/>
  <c r="K72" i="209"/>
  <c r="K73"/>
  <c r="K74"/>
  <c r="K75"/>
  <c r="K76"/>
  <c r="K77"/>
  <c r="K78"/>
  <c r="K79"/>
  <c r="K80"/>
  <c r="K81"/>
  <c r="K82"/>
  <c r="K83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12"/>
  <c r="K13"/>
  <c r="K14"/>
  <c r="K15"/>
  <c r="L13"/>
  <c r="L14"/>
  <c r="L15"/>
  <c r="K9"/>
  <c r="K10"/>
  <c r="K11"/>
  <c r="K8"/>
  <c r="L9" l="1"/>
  <c r="L10"/>
  <c r="L11"/>
  <c r="L8"/>
  <c r="G217" i="214" l="1"/>
  <c r="H217" s="1"/>
  <c r="F217"/>
  <c r="C217"/>
  <c r="K216"/>
  <c r="J216"/>
  <c r="G216"/>
  <c r="H216" s="1"/>
  <c r="K215"/>
  <c r="J215"/>
  <c r="H215"/>
  <c r="J214"/>
  <c r="K214" s="1"/>
  <c r="H214"/>
  <c r="J213"/>
  <c r="K213" s="1"/>
  <c r="H213"/>
  <c r="K212"/>
  <c r="J212"/>
  <c r="H212"/>
  <c r="K211"/>
  <c r="J211"/>
  <c r="H211"/>
  <c r="J210"/>
  <c r="K210" s="1"/>
  <c r="H210"/>
  <c r="J209"/>
  <c r="K209" s="1"/>
  <c r="H209"/>
  <c r="K208"/>
  <c r="J208"/>
  <c r="H208"/>
  <c r="K207"/>
  <c r="J207"/>
  <c r="H207"/>
  <c r="J206"/>
  <c r="K206" s="1"/>
  <c r="H206"/>
  <c r="J205"/>
  <c r="K205" s="1"/>
  <c r="H205"/>
  <c r="K204"/>
  <c r="J204"/>
  <c r="H204"/>
  <c r="K203"/>
  <c r="J203"/>
  <c r="H203"/>
  <c r="J202"/>
  <c r="K202" s="1"/>
  <c r="H202"/>
  <c r="J201"/>
  <c r="K201" s="1"/>
  <c r="H201"/>
  <c r="K200"/>
  <c r="J200"/>
  <c r="H200"/>
  <c r="K199"/>
  <c r="J199"/>
  <c r="H199"/>
  <c r="J198"/>
  <c r="K198" s="1"/>
  <c r="I198"/>
  <c r="G198"/>
  <c r="H198" s="1"/>
  <c r="F198"/>
  <c r="K197"/>
  <c r="J197"/>
  <c r="I197"/>
  <c r="H197"/>
  <c r="H194"/>
  <c r="F194"/>
  <c r="D194"/>
  <c r="J194" s="1"/>
  <c r="K194" s="1"/>
  <c r="C194"/>
  <c r="I194" s="1"/>
  <c r="H193"/>
  <c r="E193"/>
  <c r="D193"/>
  <c r="J193" s="1"/>
  <c r="K193" s="1"/>
  <c r="C193"/>
  <c r="I193" s="1"/>
  <c r="H192"/>
  <c r="E192"/>
  <c r="D192"/>
  <c r="J192" s="1"/>
  <c r="K192" s="1"/>
  <c r="C192"/>
  <c r="I192" s="1"/>
  <c r="G191"/>
  <c r="H191" s="1"/>
  <c r="F191"/>
  <c r="I189"/>
  <c r="I188"/>
  <c r="J186"/>
  <c r="K186" s="1"/>
  <c r="I186"/>
  <c r="H186"/>
  <c r="E186"/>
  <c r="J185"/>
  <c r="K185" s="1"/>
  <c r="I185"/>
  <c r="H185"/>
  <c r="E185"/>
  <c r="K184"/>
  <c r="J184"/>
  <c r="I184"/>
  <c r="H184"/>
  <c r="E184"/>
  <c r="K183"/>
  <c r="J183"/>
  <c r="I183"/>
  <c r="H183"/>
  <c r="E183"/>
  <c r="J182"/>
  <c r="K182" s="1"/>
  <c r="I182"/>
  <c r="H182"/>
  <c r="E182"/>
  <c r="J181"/>
  <c r="K181" s="1"/>
  <c r="I181"/>
  <c r="H181"/>
  <c r="E181"/>
  <c r="K180"/>
  <c r="J180"/>
  <c r="I180"/>
  <c r="H180"/>
  <c r="E180"/>
  <c r="K179"/>
  <c r="J179"/>
  <c r="I179"/>
  <c r="H179"/>
  <c r="E179"/>
  <c r="J178"/>
  <c r="K178" s="1"/>
  <c r="I178"/>
  <c r="H178"/>
  <c r="E178"/>
  <c r="J177"/>
  <c r="K177" s="1"/>
  <c r="I177"/>
  <c r="H177"/>
  <c r="E177"/>
  <c r="K176"/>
  <c r="J176"/>
  <c r="I176"/>
  <c r="H176"/>
  <c r="E176"/>
  <c r="K175"/>
  <c r="J175"/>
  <c r="I175"/>
  <c r="H175"/>
  <c r="E175"/>
  <c r="J174"/>
  <c r="K174" s="1"/>
  <c r="I174"/>
  <c r="H174"/>
  <c r="E174"/>
  <c r="J173"/>
  <c r="K173" s="1"/>
  <c r="I173"/>
  <c r="H173"/>
  <c r="E173"/>
  <c r="K172"/>
  <c r="J172"/>
  <c r="I172"/>
  <c r="H172"/>
  <c r="E172"/>
  <c r="K171"/>
  <c r="J171"/>
  <c r="I171"/>
  <c r="H171"/>
  <c r="E171"/>
  <c r="J170"/>
  <c r="K170" s="1"/>
  <c r="I170"/>
  <c r="H170"/>
  <c r="E170"/>
  <c r="J169"/>
  <c r="K169" s="1"/>
  <c r="I169"/>
  <c r="H169"/>
  <c r="E169"/>
  <c r="K168"/>
  <c r="J168"/>
  <c r="I168"/>
  <c r="H168"/>
  <c r="E168"/>
  <c r="K167"/>
  <c r="J167"/>
  <c r="I167"/>
  <c r="H167"/>
  <c r="E167"/>
  <c r="J166"/>
  <c r="K166" s="1"/>
  <c r="I166"/>
  <c r="H166"/>
  <c r="E166"/>
  <c r="J165"/>
  <c r="K165" s="1"/>
  <c r="I165"/>
  <c r="H165"/>
  <c r="E165"/>
  <c r="K164"/>
  <c r="J164"/>
  <c r="I164"/>
  <c r="H164"/>
  <c r="E164"/>
  <c r="K163"/>
  <c r="J163"/>
  <c r="I163"/>
  <c r="H163"/>
  <c r="E163"/>
  <c r="J162"/>
  <c r="K162" s="1"/>
  <c r="I162"/>
  <c r="H162"/>
  <c r="E162"/>
  <c r="J161"/>
  <c r="K161" s="1"/>
  <c r="I161"/>
  <c r="H161"/>
  <c r="E161"/>
  <c r="K160"/>
  <c r="J160"/>
  <c r="I160"/>
  <c r="H160"/>
  <c r="E160"/>
  <c r="K159"/>
  <c r="J159"/>
  <c r="I159"/>
  <c r="H159"/>
  <c r="E159"/>
  <c r="J158"/>
  <c r="K158" s="1"/>
  <c r="I158"/>
  <c r="H158"/>
  <c r="E158"/>
  <c r="J157"/>
  <c r="K157" s="1"/>
  <c r="I157"/>
  <c r="H157"/>
  <c r="E157"/>
  <c r="K156"/>
  <c r="J156"/>
  <c r="I156"/>
  <c r="H156"/>
  <c r="E156"/>
  <c r="K155"/>
  <c r="J155"/>
  <c r="I155"/>
  <c r="H155"/>
  <c r="E155"/>
  <c r="J154"/>
  <c r="K154" s="1"/>
  <c r="I154"/>
  <c r="H154"/>
  <c r="E154"/>
  <c r="J153"/>
  <c r="K153" s="1"/>
  <c r="I153"/>
  <c r="H153"/>
  <c r="E153"/>
  <c r="K152"/>
  <c r="J152"/>
  <c r="I152"/>
  <c r="H152"/>
  <c r="E152"/>
  <c r="K151"/>
  <c r="J151"/>
  <c r="I151"/>
  <c r="H151"/>
  <c r="E151"/>
  <c r="J150"/>
  <c r="K150" s="1"/>
  <c r="I150"/>
  <c r="H150"/>
  <c r="E150"/>
  <c r="J149"/>
  <c r="K149" s="1"/>
  <c r="I149"/>
  <c r="H149"/>
  <c r="E149"/>
  <c r="K148"/>
  <c r="J148"/>
  <c r="I148"/>
  <c r="H148"/>
  <c r="E148"/>
  <c r="K147"/>
  <c r="J147"/>
  <c r="I147"/>
  <c r="H147"/>
  <c r="E147"/>
  <c r="J146"/>
  <c r="K146" s="1"/>
  <c r="I146"/>
  <c r="H146"/>
  <c r="E146"/>
  <c r="J145"/>
  <c r="K145" s="1"/>
  <c r="I145"/>
  <c r="H145"/>
  <c r="E145"/>
  <c r="K144"/>
  <c r="J144"/>
  <c r="I144"/>
  <c r="H144"/>
  <c r="E144"/>
  <c r="K143"/>
  <c r="J143"/>
  <c r="I143"/>
  <c r="H143"/>
  <c r="E143"/>
  <c r="J142"/>
  <c r="K142" s="1"/>
  <c r="I142"/>
  <c r="H142"/>
  <c r="E142"/>
  <c r="J141"/>
  <c r="K141" s="1"/>
  <c r="I141"/>
  <c r="H141"/>
  <c r="E141"/>
  <c r="K140"/>
  <c r="J140"/>
  <c r="I140"/>
  <c r="H140"/>
  <c r="E140"/>
  <c r="K139"/>
  <c r="J139"/>
  <c r="I139"/>
  <c r="H139"/>
  <c r="E139"/>
  <c r="J138"/>
  <c r="K138" s="1"/>
  <c r="I138"/>
  <c r="H138"/>
  <c r="E138"/>
  <c r="J137"/>
  <c r="K137" s="1"/>
  <c r="I137"/>
  <c r="H137"/>
  <c r="E137"/>
  <c r="K136"/>
  <c r="J136"/>
  <c r="I136"/>
  <c r="H136"/>
  <c r="E136"/>
  <c r="K135"/>
  <c r="J135"/>
  <c r="I135"/>
  <c r="H135"/>
  <c r="E135"/>
  <c r="J134"/>
  <c r="K134" s="1"/>
  <c r="I134"/>
  <c r="H134"/>
  <c r="E134"/>
  <c r="J133"/>
  <c r="K133" s="1"/>
  <c r="H133"/>
  <c r="E133"/>
  <c r="J132"/>
  <c r="K132" s="1"/>
  <c r="I132"/>
  <c r="H132"/>
  <c r="E132"/>
  <c r="K131"/>
  <c r="J131"/>
  <c r="I131"/>
  <c r="H131"/>
  <c r="E131"/>
  <c r="K130"/>
  <c r="J130"/>
  <c r="I130"/>
  <c r="H130"/>
  <c r="E130"/>
  <c r="J129"/>
  <c r="K129" s="1"/>
  <c r="I129"/>
  <c r="H129"/>
  <c r="E129"/>
  <c r="J128"/>
  <c r="K128" s="1"/>
  <c r="I128"/>
  <c r="H128"/>
  <c r="E128"/>
  <c r="K127"/>
  <c r="J127"/>
  <c r="I127"/>
  <c r="H127"/>
  <c r="E127"/>
  <c r="K126"/>
  <c r="J126"/>
  <c r="I126"/>
  <c r="H126"/>
  <c r="E126"/>
  <c r="J125"/>
  <c r="K125" s="1"/>
  <c r="I125"/>
  <c r="H125"/>
  <c r="E125"/>
  <c r="J124"/>
  <c r="K124" s="1"/>
  <c r="I124"/>
  <c r="H124"/>
  <c r="E124"/>
  <c r="K123"/>
  <c r="J123"/>
  <c r="I123"/>
  <c r="H123"/>
  <c r="E123"/>
  <c r="K122"/>
  <c r="J122"/>
  <c r="I122"/>
  <c r="H122"/>
  <c r="E122"/>
  <c r="J121"/>
  <c r="K121" s="1"/>
  <c r="I121"/>
  <c r="I120" s="1"/>
  <c r="H121"/>
  <c r="E121"/>
  <c r="J120"/>
  <c r="G120"/>
  <c r="H120" s="1"/>
  <c r="F120"/>
  <c r="E120"/>
  <c r="D120"/>
  <c r="C120"/>
  <c r="K119"/>
  <c r="J119"/>
  <c r="I119"/>
  <c r="H119"/>
  <c r="E119"/>
  <c r="K116"/>
  <c r="J116"/>
  <c r="I116"/>
  <c r="H116"/>
  <c r="E116"/>
  <c r="J115"/>
  <c r="K115" s="1"/>
  <c r="I115"/>
  <c r="H115"/>
  <c r="E115"/>
  <c r="J114"/>
  <c r="K114" s="1"/>
  <c r="I114"/>
  <c r="H114"/>
  <c r="E114"/>
  <c r="K113"/>
  <c r="J113"/>
  <c r="I113"/>
  <c r="H113"/>
  <c r="E113"/>
  <c r="K112"/>
  <c r="J112"/>
  <c r="I112"/>
  <c r="H112"/>
  <c r="E112"/>
  <c r="J111"/>
  <c r="K111" s="1"/>
  <c r="I111"/>
  <c r="H111"/>
  <c r="E111"/>
  <c r="J110"/>
  <c r="K110" s="1"/>
  <c r="I110"/>
  <c r="I108" s="1"/>
  <c r="H110"/>
  <c r="E110"/>
  <c r="K109"/>
  <c r="J109"/>
  <c r="J108" s="1"/>
  <c r="K108" s="1"/>
  <c r="I109"/>
  <c r="H109"/>
  <c r="E109"/>
  <c r="H108"/>
  <c r="G108"/>
  <c r="F108"/>
  <c r="D108"/>
  <c r="E108" s="1"/>
  <c r="C108"/>
  <c r="I107"/>
  <c r="H107"/>
  <c r="D107"/>
  <c r="J107" s="1"/>
  <c r="K107" s="1"/>
  <c r="K104"/>
  <c r="J104"/>
  <c r="I104"/>
  <c r="H104"/>
  <c r="E104"/>
  <c r="J103"/>
  <c r="H103"/>
  <c r="E103"/>
  <c r="C103"/>
  <c r="I103" s="1"/>
  <c r="J102"/>
  <c r="K102" s="1"/>
  <c r="I102"/>
  <c r="H102"/>
  <c r="E102"/>
  <c r="K101"/>
  <c r="J101"/>
  <c r="I101"/>
  <c r="H101"/>
  <c r="E101"/>
  <c r="K100"/>
  <c r="J100"/>
  <c r="I100"/>
  <c r="H100"/>
  <c r="E100"/>
  <c r="J99"/>
  <c r="K99" s="1"/>
  <c r="I99"/>
  <c r="H99"/>
  <c r="E99"/>
  <c r="J98"/>
  <c r="K98" s="1"/>
  <c r="I98"/>
  <c r="H98"/>
  <c r="E98"/>
  <c r="K97"/>
  <c r="J97"/>
  <c r="I97"/>
  <c r="H97"/>
  <c r="E97"/>
  <c r="K96"/>
  <c r="J96"/>
  <c r="I96"/>
  <c r="H96"/>
  <c r="E96"/>
  <c r="J95"/>
  <c r="K95" s="1"/>
  <c r="I95"/>
  <c r="H95"/>
  <c r="E95"/>
  <c r="J94"/>
  <c r="K94" s="1"/>
  <c r="I94"/>
  <c r="H94"/>
  <c r="E94"/>
  <c r="K93"/>
  <c r="J93"/>
  <c r="I93"/>
  <c r="H93"/>
  <c r="E93"/>
  <c r="K92"/>
  <c r="J92"/>
  <c r="I92"/>
  <c r="H92"/>
  <c r="E92"/>
  <c r="J91"/>
  <c r="K91" s="1"/>
  <c r="I91"/>
  <c r="H91"/>
  <c r="E91"/>
  <c r="J90"/>
  <c r="K90" s="1"/>
  <c r="I90"/>
  <c r="H90"/>
  <c r="E90"/>
  <c r="K89"/>
  <c r="J89"/>
  <c r="I89"/>
  <c r="H89"/>
  <c r="E89"/>
  <c r="K88"/>
  <c r="J88"/>
  <c r="I88"/>
  <c r="H88"/>
  <c r="E88"/>
  <c r="J87"/>
  <c r="K87" s="1"/>
  <c r="I87"/>
  <c r="H87"/>
  <c r="E87"/>
  <c r="J86"/>
  <c r="K86" s="1"/>
  <c r="I86"/>
  <c r="H86"/>
  <c r="E86"/>
  <c r="K85"/>
  <c r="J85"/>
  <c r="J83" s="1"/>
  <c r="I85"/>
  <c r="H85"/>
  <c r="E85"/>
  <c r="K84"/>
  <c r="J84"/>
  <c r="I84"/>
  <c r="H84"/>
  <c r="E84"/>
  <c r="H83"/>
  <c r="G83"/>
  <c r="F83"/>
  <c r="E83"/>
  <c r="D83"/>
  <c r="C83"/>
  <c r="J82"/>
  <c r="K82" s="1"/>
  <c r="I82"/>
  <c r="H82"/>
  <c r="E82"/>
  <c r="K80"/>
  <c r="J80"/>
  <c r="I80"/>
  <c r="H80"/>
  <c r="E80"/>
  <c r="J79"/>
  <c r="H79"/>
  <c r="F79"/>
  <c r="C79"/>
  <c r="I79" s="1"/>
  <c r="K79" s="1"/>
  <c r="K78"/>
  <c r="J78"/>
  <c r="I78"/>
  <c r="H78"/>
  <c r="E78"/>
  <c r="K77"/>
  <c r="J77"/>
  <c r="I77"/>
  <c r="H77"/>
  <c r="E77"/>
  <c r="J76"/>
  <c r="K76" s="1"/>
  <c r="I76"/>
  <c r="H76"/>
  <c r="E76"/>
  <c r="J75"/>
  <c r="K75" s="1"/>
  <c r="I75"/>
  <c r="H75"/>
  <c r="E75"/>
  <c r="K74"/>
  <c r="J74"/>
  <c r="I74"/>
  <c r="H74"/>
  <c r="E74"/>
  <c r="K73"/>
  <c r="J73"/>
  <c r="I73"/>
  <c r="H73"/>
  <c r="E73"/>
  <c r="J72"/>
  <c r="K72" s="1"/>
  <c r="I72"/>
  <c r="H72"/>
  <c r="E72"/>
  <c r="J71"/>
  <c r="K71" s="1"/>
  <c r="I71"/>
  <c r="H71"/>
  <c r="E71"/>
  <c r="K70"/>
  <c r="J70"/>
  <c r="I70"/>
  <c r="H70"/>
  <c r="E70"/>
  <c r="K69"/>
  <c r="J69"/>
  <c r="I69"/>
  <c r="H69"/>
  <c r="E69"/>
  <c r="J68"/>
  <c r="K68" s="1"/>
  <c r="I68"/>
  <c r="H68"/>
  <c r="E68"/>
  <c r="J67"/>
  <c r="K67" s="1"/>
  <c r="I67"/>
  <c r="H67"/>
  <c r="E67"/>
  <c r="K66"/>
  <c r="J66"/>
  <c r="I66"/>
  <c r="H66"/>
  <c r="E66"/>
  <c r="K65"/>
  <c r="J65"/>
  <c r="I65"/>
  <c r="H65"/>
  <c r="E65"/>
  <c r="J64"/>
  <c r="K64" s="1"/>
  <c r="I64"/>
  <c r="H64"/>
  <c r="E64"/>
  <c r="J63"/>
  <c r="K63" s="1"/>
  <c r="I63"/>
  <c r="H63"/>
  <c r="E63"/>
  <c r="K62"/>
  <c r="J62"/>
  <c r="I62"/>
  <c r="H62"/>
  <c r="E62"/>
  <c r="K61"/>
  <c r="J61"/>
  <c r="I61"/>
  <c r="H61"/>
  <c r="E61"/>
  <c r="J60"/>
  <c r="K60" s="1"/>
  <c r="I60"/>
  <c r="H60"/>
  <c r="E60"/>
  <c r="J59"/>
  <c r="K59" s="1"/>
  <c r="I59"/>
  <c r="H59"/>
  <c r="E59"/>
  <c r="K58"/>
  <c r="J58"/>
  <c r="I58"/>
  <c r="H58"/>
  <c r="E58"/>
  <c r="K57"/>
  <c r="J57"/>
  <c r="I57"/>
  <c r="H57"/>
  <c r="E57"/>
  <c r="J56"/>
  <c r="K56" s="1"/>
  <c r="I56"/>
  <c r="H56"/>
  <c r="E56"/>
  <c r="J55"/>
  <c r="K55" s="1"/>
  <c r="I55"/>
  <c r="H55"/>
  <c r="E55"/>
  <c r="K54"/>
  <c r="J54"/>
  <c r="I54"/>
  <c r="H54"/>
  <c r="E54"/>
  <c r="K53"/>
  <c r="J53"/>
  <c r="I53"/>
  <c r="H53"/>
  <c r="E53"/>
  <c r="J52"/>
  <c r="K52" s="1"/>
  <c r="I52"/>
  <c r="H52"/>
  <c r="E52"/>
  <c r="J51"/>
  <c r="K51" s="1"/>
  <c r="I51"/>
  <c r="H51"/>
  <c r="E51"/>
  <c r="K50"/>
  <c r="J50"/>
  <c r="I50"/>
  <c r="H50"/>
  <c r="E50"/>
  <c r="K49"/>
  <c r="J49"/>
  <c r="I49"/>
  <c r="H49"/>
  <c r="E49"/>
  <c r="J48"/>
  <c r="K48" s="1"/>
  <c r="I48"/>
  <c r="H48"/>
  <c r="E48"/>
  <c r="J47"/>
  <c r="K47" s="1"/>
  <c r="I47"/>
  <c r="H47"/>
  <c r="E47"/>
  <c r="K46"/>
  <c r="J46"/>
  <c r="I46"/>
  <c r="H46"/>
  <c r="E46"/>
  <c r="K45"/>
  <c r="J45"/>
  <c r="I45"/>
  <c r="H45"/>
  <c r="E45"/>
  <c r="J44"/>
  <c r="K44" s="1"/>
  <c r="I44"/>
  <c r="H44"/>
  <c r="E44"/>
  <c r="J43"/>
  <c r="K43" s="1"/>
  <c r="I43"/>
  <c r="H43"/>
  <c r="E43"/>
  <c r="K42"/>
  <c r="J42"/>
  <c r="I42"/>
  <c r="H42"/>
  <c r="E42"/>
  <c r="K41"/>
  <c r="J41"/>
  <c r="I41"/>
  <c r="H41"/>
  <c r="E41"/>
  <c r="J40"/>
  <c r="K40" s="1"/>
  <c r="I40"/>
  <c r="H40"/>
  <c r="E40"/>
  <c r="J39"/>
  <c r="K39" s="1"/>
  <c r="I39"/>
  <c r="H39"/>
  <c r="E39"/>
  <c r="K38"/>
  <c r="J38"/>
  <c r="I38"/>
  <c r="H38"/>
  <c r="E38"/>
  <c r="K37"/>
  <c r="J37"/>
  <c r="I37"/>
  <c r="H37"/>
  <c r="E37"/>
  <c r="J36"/>
  <c r="K36" s="1"/>
  <c r="I36"/>
  <c r="H36"/>
  <c r="E36"/>
  <c r="J35"/>
  <c r="K35" s="1"/>
  <c r="I35"/>
  <c r="H35"/>
  <c r="E35"/>
  <c r="K34"/>
  <c r="J34"/>
  <c r="I34"/>
  <c r="H34"/>
  <c r="E34"/>
  <c r="K33"/>
  <c r="J33"/>
  <c r="I33"/>
  <c r="H33"/>
  <c r="E33"/>
  <c r="J32"/>
  <c r="K32" s="1"/>
  <c r="I32"/>
  <c r="H32"/>
  <c r="E32"/>
  <c r="J31"/>
  <c r="K31" s="1"/>
  <c r="I31"/>
  <c r="H31"/>
  <c r="E31"/>
  <c r="K30"/>
  <c r="J30"/>
  <c r="I30"/>
  <c r="H30"/>
  <c r="E30"/>
  <c r="K29"/>
  <c r="J29"/>
  <c r="I29"/>
  <c r="H29"/>
  <c r="E29"/>
  <c r="J28"/>
  <c r="K28" s="1"/>
  <c r="I28"/>
  <c r="H28"/>
  <c r="E28"/>
  <c r="J27"/>
  <c r="K27" s="1"/>
  <c r="I27"/>
  <c r="H27"/>
  <c r="E27"/>
  <c r="K26"/>
  <c r="J26"/>
  <c r="I26"/>
  <c r="H26"/>
  <c r="E26"/>
  <c r="K25"/>
  <c r="J25"/>
  <c r="I25"/>
  <c r="H25"/>
  <c r="E25"/>
  <c r="J24"/>
  <c r="K24" s="1"/>
  <c r="I24"/>
  <c r="H24"/>
  <c r="E24"/>
  <c r="J23"/>
  <c r="K23" s="1"/>
  <c r="I23"/>
  <c r="H23"/>
  <c r="E23"/>
  <c r="K22"/>
  <c r="J22"/>
  <c r="I22"/>
  <c r="H22"/>
  <c r="E22"/>
  <c r="K21"/>
  <c r="J21"/>
  <c r="I21"/>
  <c r="H21"/>
  <c r="E21"/>
  <c r="J20"/>
  <c r="K20" s="1"/>
  <c r="I20"/>
  <c r="H20"/>
  <c r="E20"/>
  <c r="J19"/>
  <c r="K19" s="1"/>
  <c r="I19"/>
  <c r="H19"/>
  <c r="E19"/>
  <c r="K18"/>
  <c r="J18"/>
  <c r="I18"/>
  <c r="H18"/>
  <c r="E18"/>
  <c r="K17"/>
  <c r="J17"/>
  <c r="I17"/>
  <c r="H17"/>
  <c r="E17"/>
  <c r="J16"/>
  <c r="K16" s="1"/>
  <c r="I16"/>
  <c r="H16"/>
  <c r="E16"/>
  <c r="J15"/>
  <c r="K15" s="1"/>
  <c r="I15"/>
  <c r="H15"/>
  <c r="E15"/>
  <c r="K14"/>
  <c r="J14"/>
  <c r="I14"/>
  <c r="H14"/>
  <c r="E14"/>
  <c r="K13"/>
  <c r="J13"/>
  <c r="I13"/>
  <c r="H13"/>
  <c r="E13"/>
  <c r="J12"/>
  <c r="K12" s="1"/>
  <c r="I12"/>
  <c r="H12"/>
  <c r="E12"/>
  <c r="J11"/>
  <c r="K11" s="1"/>
  <c r="I11"/>
  <c r="I9" s="1"/>
  <c r="H11"/>
  <c r="E11"/>
  <c r="K10"/>
  <c r="J10"/>
  <c r="J9" s="1"/>
  <c r="I10"/>
  <c r="H10"/>
  <c r="E10"/>
  <c r="H9"/>
  <c r="G9"/>
  <c r="G218" s="1"/>
  <c r="H218" s="1"/>
  <c r="F9"/>
  <c r="F218" s="1"/>
  <c r="D9"/>
  <c r="E9" s="1"/>
  <c r="C9"/>
  <c r="C218" s="1"/>
  <c r="J8"/>
  <c r="I8"/>
  <c r="K8" s="1"/>
  <c r="H8"/>
  <c r="E8"/>
  <c r="I83" l="1"/>
  <c r="K103"/>
  <c r="J218"/>
  <c r="K218" s="1"/>
  <c r="K9"/>
  <c r="I218"/>
  <c r="K120"/>
  <c r="K83"/>
  <c r="J217"/>
  <c r="K217" s="1"/>
  <c r="I217"/>
  <c r="E79"/>
  <c r="E107"/>
  <c r="D191"/>
  <c r="E194"/>
  <c r="D217"/>
  <c r="E217" s="1"/>
  <c r="D218"/>
  <c r="E218" s="1"/>
  <c r="C191"/>
  <c r="I191" s="1"/>
  <c r="E191" l="1"/>
  <c r="J191"/>
  <c r="K191" s="1"/>
  <c r="D33" i="200" l="1"/>
  <c r="E33"/>
  <c r="F33"/>
  <c r="G33"/>
  <c r="H33"/>
  <c r="I33"/>
  <c r="J33"/>
  <c r="K33"/>
  <c r="C33"/>
  <c r="D54"/>
  <c r="E54"/>
  <c r="F54"/>
  <c r="G54"/>
  <c r="H54"/>
  <c r="K54"/>
  <c r="L54"/>
  <c r="M54"/>
  <c r="N54"/>
  <c r="C54"/>
  <c r="D51"/>
  <c r="E51"/>
  <c r="F51"/>
  <c r="G51"/>
  <c r="H51"/>
  <c r="K51"/>
  <c r="L51"/>
  <c r="M51"/>
  <c r="N51"/>
  <c r="C51"/>
  <c r="O12" i="213" l="1"/>
  <c r="P12"/>
  <c r="R12"/>
  <c r="S12"/>
  <c r="O13"/>
  <c r="P13"/>
  <c r="R13"/>
  <c r="S13"/>
  <c r="O14"/>
  <c r="P14"/>
  <c r="R14"/>
  <c r="S14"/>
  <c r="O15"/>
  <c r="P15"/>
  <c r="R15"/>
  <c r="O16"/>
  <c r="P16"/>
  <c r="R16"/>
  <c r="R11"/>
  <c r="P11"/>
  <c r="O11"/>
  <c r="M13"/>
  <c r="M15"/>
  <c r="S15" s="1"/>
  <c r="M11"/>
  <c r="S11" s="1"/>
  <c r="M16"/>
  <c r="S16" s="1"/>
  <c r="G324" i="185" l="1"/>
  <c r="G325" s="1"/>
  <c r="E324"/>
  <c r="J323"/>
  <c r="K323" s="1"/>
  <c r="H323"/>
  <c r="E323"/>
  <c r="D323"/>
  <c r="H322"/>
  <c r="D322"/>
  <c r="D325" s="1"/>
  <c r="E325" s="1"/>
  <c r="G313"/>
  <c r="H313" s="1"/>
  <c r="J312"/>
  <c r="K312" s="1"/>
  <c r="E312"/>
  <c r="J311"/>
  <c r="K311" s="1"/>
  <c r="E311"/>
  <c r="D310"/>
  <c r="E310" s="1"/>
  <c r="J309"/>
  <c r="K309" s="1"/>
  <c r="E309"/>
  <c r="D308"/>
  <c r="J308" s="1"/>
  <c r="K308" s="1"/>
  <c r="G299"/>
  <c r="G300" s="1"/>
  <c r="E299"/>
  <c r="J298"/>
  <c r="K298" s="1"/>
  <c r="H298"/>
  <c r="E298"/>
  <c r="H297"/>
  <c r="D297"/>
  <c r="D300" s="1"/>
  <c r="E300" s="1"/>
  <c r="G288"/>
  <c r="H288" s="1"/>
  <c r="J287"/>
  <c r="K287" s="1"/>
  <c r="H287"/>
  <c r="E287"/>
  <c r="H286"/>
  <c r="D286"/>
  <c r="D288" s="1"/>
  <c r="E288" s="1"/>
  <c r="J285"/>
  <c r="K285" s="1"/>
  <c r="H285"/>
  <c r="E285"/>
  <c r="J284"/>
  <c r="K284" s="1"/>
  <c r="H284"/>
  <c r="E284"/>
  <c r="J283"/>
  <c r="K283" s="1"/>
  <c r="H283"/>
  <c r="E283"/>
  <c r="I274"/>
  <c r="F274"/>
  <c r="H274" s="1"/>
  <c r="G273"/>
  <c r="J273" s="1"/>
  <c r="H272"/>
  <c r="H271"/>
  <c r="H270"/>
  <c r="H269"/>
  <c r="G259"/>
  <c r="J259" s="1"/>
  <c r="K259" s="1"/>
  <c r="E259"/>
  <c r="G258"/>
  <c r="G260" s="1"/>
  <c r="H260" s="1"/>
  <c r="D258"/>
  <c r="E258" s="1"/>
  <c r="J257"/>
  <c r="K257" s="1"/>
  <c r="H257"/>
  <c r="E257"/>
  <c r="D257"/>
  <c r="D260" s="1"/>
  <c r="K256"/>
  <c r="J256"/>
  <c r="H256"/>
  <c r="E256"/>
  <c r="K246"/>
  <c r="J246"/>
  <c r="H246"/>
  <c r="E246"/>
  <c r="K245"/>
  <c r="J245"/>
  <c r="H245"/>
  <c r="E245"/>
  <c r="K244"/>
  <c r="J244"/>
  <c r="H244"/>
  <c r="E244"/>
  <c r="H243"/>
  <c r="D243"/>
  <c r="J243" s="1"/>
  <c r="K243" s="1"/>
  <c r="J242"/>
  <c r="K242" s="1"/>
  <c r="H242"/>
  <c r="E242"/>
  <c r="H241"/>
  <c r="D241"/>
  <c r="J241" s="1"/>
  <c r="K241" s="1"/>
  <c r="H240"/>
  <c r="D240"/>
  <c r="J240" s="1"/>
  <c r="G239"/>
  <c r="D239"/>
  <c r="K238"/>
  <c r="E238"/>
  <c r="J237"/>
  <c r="K237" s="1"/>
  <c r="H237"/>
  <c r="E237"/>
  <c r="J236"/>
  <c r="K236" s="1"/>
  <c r="H236"/>
  <c r="E236"/>
  <c r="J235"/>
  <c r="K235" s="1"/>
  <c r="H235"/>
  <c r="E235"/>
  <c r="J234"/>
  <c r="K234" s="1"/>
  <c r="H234"/>
  <c r="E234"/>
  <c r="J233"/>
  <c r="K233" s="1"/>
  <c r="H233"/>
  <c r="E233"/>
  <c r="J232"/>
  <c r="K232" s="1"/>
  <c r="G232"/>
  <c r="H232" s="1"/>
  <c r="D232"/>
  <c r="E232" s="1"/>
  <c r="G224"/>
  <c r="H224" s="1"/>
  <c r="J223"/>
  <c r="K223" s="1"/>
  <c r="H223"/>
  <c r="E223"/>
  <c r="H222"/>
  <c r="D222"/>
  <c r="D224" s="1"/>
  <c r="E224" s="1"/>
  <c r="J221"/>
  <c r="K221" s="1"/>
  <c r="H221"/>
  <c r="E221"/>
  <c r="G212"/>
  <c r="D211"/>
  <c r="J211" s="1"/>
  <c r="K211" s="1"/>
  <c r="D210"/>
  <c r="J210" s="1"/>
  <c r="K210" s="1"/>
  <c r="H209"/>
  <c r="H212" s="1"/>
  <c r="D209"/>
  <c r="D212" s="1"/>
  <c r="E212" s="1"/>
  <c r="J200"/>
  <c r="J199"/>
  <c r="I199"/>
  <c r="I200" s="1"/>
  <c r="C199"/>
  <c r="C200" s="1"/>
  <c r="E200" s="1"/>
  <c r="D198"/>
  <c r="E198" s="1"/>
  <c r="G195"/>
  <c r="H195" s="1"/>
  <c r="H194"/>
  <c r="E194"/>
  <c r="D194"/>
  <c r="J194" s="1"/>
  <c r="K194" s="1"/>
  <c r="K193"/>
  <c r="J193"/>
  <c r="H193"/>
  <c r="E193"/>
  <c r="K183"/>
  <c r="J183"/>
  <c r="H183"/>
  <c r="E183"/>
  <c r="H182"/>
  <c r="D182"/>
  <c r="H181"/>
  <c r="E181"/>
  <c r="D181"/>
  <c r="J181" s="1"/>
  <c r="K181" s="1"/>
  <c r="H180"/>
  <c r="D180"/>
  <c r="G179"/>
  <c r="D179"/>
  <c r="J169"/>
  <c r="K169" s="1"/>
  <c r="H169"/>
  <c r="E169"/>
  <c r="H168"/>
  <c r="E168"/>
  <c r="D168"/>
  <c r="J168" s="1"/>
  <c r="K168" s="1"/>
  <c r="K167"/>
  <c r="J167"/>
  <c r="H167"/>
  <c r="E167"/>
  <c r="H166"/>
  <c r="D166"/>
  <c r="J165"/>
  <c r="K165" s="1"/>
  <c r="H165"/>
  <c r="E165"/>
  <c r="H164"/>
  <c r="D164"/>
  <c r="J164" s="1"/>
  <c r="K164" s="1"/>
  <c r="J163"/>
  <c r="K163" s="1"/>
  <c r="H163"/>
  <c r="E163"/>
  <c r="G162"/>
  <c r="G170" s="1"/>
  <c r="H170" s="1"/>
  <c r="D162"/>
  <c r="J162" s="1"/>
  <c r="K162" s="1"/>
  <c r="G153"/>
  <c r="J153" s="1"/>
  <c r="K153" s="1"/>
  <c r="E153"/>
  <c r="J152"/>
  <c r="K152" s="1"/>
  <c r="G152"/>
  <c r="H152" s="1"/>
  <c r="E152"/>
  <c r="G151"/>
  <c r="G154" s="1"/>
  <c r="H154" s="1"/>
  <c r="E151"/>
  <c r="J150"/>
  <c r="K150" s="1"/>
  <c r="H150"/>
  <c r="E150"/>
  <c r="D150"/>
  <c r="H149"/>
  <c r="D149"/>
  <c r="I140"/>
  <c r="F140"/>
  <c r="J139"/>
  <c r="K139" s="1"/>
  <c r="H139"/>
  <c r="E139"/>
  <c r="J138"/>
  <c r="K138" s="1"/>
  <c r="H138"/>
  <c r="E138"/>
  <c r="J137"/>
  <c r="K137" s="1"/>
  <c r="H137"/>
  <c r="E137"/>
  <c r="J136"/>
  <c r="K136" s="1"/>
  <c r="H136"/>
  <c r="E136"/>
  <c r="H135"/>
  <c r="D135"/>
  <c r="J135" s="1"/>
  <c r="K135" s="1"/>
  <c r="H134"/>
  <c r="D134"/>
  <c r="H133"/>
  <c r="J132"/>
  <c r="K132" s="1"/>
  <c r="H132"/>
  <c r="E132"/>
  <c r="J131"/>
  <c r="K131" s="1"/>
  <c r="H131"/>
  <c r="E131"/>
  <c r="H130"/>
  <c r="D130"/>
  <c r="H129"/>
  <c r="D129"/>
  <c r="J129" s="1"/>
  <c r="K129" s="1"/>
  <c r="H128"/>
  <c r="H127" s="1"/>
  <c r="D128"/>
  <c r="G127"/>
  <c r="D127"/>
  <c r="E127" s="1"/>
  <c r="J126"/>
  <c r="K126" s="1"/>
  <c r="H126"/>
  <c r="E126"/>
  <c r="J125"/>
  <c r="K125" s="1"/>
  <c r="H125"/>
  <c r="E125"/>
  <c r="K124"/>
  <c r="E124"/>
  <c r="K123"/>
  <c r="E123"/>
  <c r="J122"/>
  <c r="K122" s="1"/>
  <c r="H122"/>
  <c r="E122"/>
  <c r="J121"/>
  <c r="K121" s="1"/>
  <c r="H121"/>
  <c r="E121"/>
  <c r="H120"/>
  <c r="G120"/>
  <c r="D120"/>
  <c r="E120" s="1"/>
  <c r="D119"/>
  <c r="J118"/>
  <c r="E118"/>
  <c r="H117"/>
  <c r="G117"/>
  <c r="K116"/>
  <c r="J116"/>
  <c r="E116"/>
  <c r="J115"/>
  <c r="K115" s="1"/>
  <c r="E115"/>
  <c r="J114"/>
  <c r="K114" s="1"/>
  <c r="E114"/>
  <c r="H113"/>
  <c r="G113"/>
  <c r="D113"/>
  <c r="E113" s="1"/>
  <c r="J112"/>
  <c r="K112" s="1"/>
  <c r="H112"/>
  <c r="E112"/>
  <c r="J111"/>
  <c r="K111" s="1"/>
  <c r="H111"/>
  <c r="E111"/>
  <c r="H110"/>
  <c r="D110"/>
  <c r="J110" s="1"/>
  <c r="K110" s="1"/>
  <c r="H109"/>
  <c r="H108" s="1"/>
  <c r="D109"/>
  <c r="G108"/>
  <c r="G140" s="1"/>
  <c r="H140" s="1"/>
  <c r="D108"/>
  <c r="E108" s="1"/>
  <c r="J107"/>
  <c r="K107" s="1"/>
  <c r="E107"/>
  <c r="E106"/>
  <c r="D106"/>
  <c r="J106" s="1"/>
  <c r="K106" s="1"/>
  <c r="D105"/>
  <c r="J105" s="1"/>
  <c r="K105" s="1"/>
  <c r="H104"/>
  <c r="D104"/>
  <c r="F95"/>
  <c r="C95"/>
  <c r="I94"/>
  <c r="G94"/>
  <c r="E94"/>
  <c r="J93"/>
  <c r="I93"/>
  <c r="K93" s="1"/>
  <c r="H93"/>
  <c r="E93"/>
  <c r="I92"/>
  <c r="H92"/>
  <c r="D92"/>
  <c r="E92" s="1"/>
  <c r="I91"/>
  <c r="H91"/>
  <c r="D91"/>
  <c r="E91" s="1"/>
  <c r="I90"/>
  <c r="H90"/>
  <c r="D90"/>
  <c r="E90" s="1"/>
  <c r="I89"/>
  <c r="I95" s="1"/>
  <c r="H89"/>
  <c r="H95" s="1"/>
  <c r="D89"/>
  <c r="E89" s="1"/>
  <c r="F80"/>
  <c r="C80"/>
  <c r="I79"/>
  <c r="G79"/>
  <c r="E79"/>
  <c r="I78"/>
  <c r="H78"/>
  <c r="D78"/>
  <c r="J78" s="1"/>
  <c r="K78" s="1"/>
  <c r="I77"/>
  <c r="I80" s="1"/>
  <c r="H77"/>
  <c r="D77"/>
  <c r="J77" s="1"/>
  <c r="G68"/>
  <c r="F68"/>
  <c r="C68"/>
  <c r="J67"/>
  <c r="K67" s="1"/>
  <c r="I67"/>
  <c r="H67"/>
  <c r="E67"/>
  <c r="J66"/>
  <c r="I66"/>
  <c r="H66"/>
  <c r="E66"/>
  <c r="I65"/>
  <c r="H65"/>
  <c r="D65"/>
  <c r="E65" s="1"/>
  <c r="I64"/>
  <c r="H64"/>
  <c r="H68" s="1"/>
  <c r="D64"/>
  <c r="J64" s="1"/>
  <c r="G56"/>
  <c r="F56"/>
  <c r="C56"/>
  <c r="J55"/>
  <c r="I55"/>
  <c r="K55" s="1"/>
  <c r="H55"/>
  <c r="E55"/>
  <c r="I54"/>
  <c r="I53"/>
  <c r="J52"/>
  <c r="I52"/>
  <c r="H52"/>
  <c r="E52"/>
  <c r="I51"/>
  <c r="H51"/>
  <c r="D51"/>
  <c r="J51" s="1"/>
  <c r="K51" s="1"/>
  <c r="F42"/>
  <c r="C42"/>
  <c r="I42" s="1"/>
  <c r="I41"/>
  <c r="G41"/>
  <c r="G42" s="1"/>
  <c r="H42" s="1"/>
  <c r="E41"/>
  <c r="J40"/>
  <c r="I40"/>
  <c r="H40"/>
  <c r="E40"/>
  <c r="I39"/>
  <c r="H39"/>
  <c r="D39"/>
  <c r="J39" s="1"/>
  <c r="K39" s="1"/>
  <c r="I38"/>
  <c r="H38"/>
  <c r="D38"/>
  <c r="D42" s="1"/>
  <c r="E42" s="1"/>
  <c r="I29"/>
  <c r="G29"/>
  <c r="H29" s="1"/>
  <c r="F29"/>
  <c r="C29"/>
  <c r="J28"/>
  <c r="K28" s="1"/>
  <c r="H28"/>
  <c r="E28"/>
  <c r="J27"/>
  <c r="K27" s="1"/>
  <c r="H27"/>
  <c r="E27"/>
  <c r="H26"/>
  <c r="D26"/>
  <c r="D29" s="1"/>
  <c r="E29" s="1"/>
  <c r="J25"/>
  <c r="K25" s="1"/>
  <c r="H25"/>
  <c r="E25"/>
  <c r="J24"/>
  <c r="K24" s="1"/>
  <c r="H24"/>
  <c r="E24"/>
  <c r="G15"/>
  <c r="F15"/>
  <c r="D15"/>
  <c r="C15"/>
  <c r="E15" s="1"/>
  <c r="J14"/>
  <c r="I14"/>
  <c r="H14"/>
  <c r="E14"/>
  <c r="J13"/>
  <c r="I13"/>
  <c r="K13" s="1"/>
  <c r="H13"/>
  <c r="E13"/>
  <c r="J12"/>
  <c r="I12"/>
  <c r="E12"/>
  <c r="J11"/>
  <c r="I11"/>
  <c r="E11"/>
  <c r="J10"/>
  <c r="I10"/>
  <c r="E10"/>
  <c r="J9"/>
  <c r="I9"/>
  <c r="H9"/>
  <c r="E9"/>
  <c r="K11" l="1"/>
  <c r="H41"/>
  <c r="J41"/>
  <c r="K41" s="1"/>
  <c r="I56"/>
  <c r="K66"/>
  <c r="E77"/>
  <c r="E78"/>
  <c r="E129"/>
  <c r="H151"/>
  <c r="H153"/>
  <c r="E162"/>
  <c r="H162"/>
  <c r="E164"/>
  <c r="D195"/>
  <c r="E195" s="1"/>
  <c r="E210"/>
  <c r="E211"/>
  <c r="G247"/>
  <c r="H247" s="1"/>
  <c r="H239"/>
  <c r="E241"/>
  <c r="H259"/>
  <c r="H273"/>
  <c r="E297"/>
  <c r="J297"/>
  <c r="K297" s="1"/>
  <c r="H299"/>
  <c r="E308"/>
  <c r="H324"/>
  <c r="K10"/>
  <c r="K12"/>
  <c r="K14"/>
  <c r="H15"/>
  <c r="E26"/>
  <c r="J26"/>
  <c r="K26" s="1"/>
  <c r="E38"/>
  <c r="E39"/>
  <c r="K40"/>
  <c r="E51"/>
  <c r="K52"/>
  <c r="D56"/>
  <c r="E56" s="1"/>
  <c r="D80"/>
  <c r="E80" s="1"/>
  <c r="E105"/>
  <c r="E110"/>
  <c r="E135"/>
  <c r="E222"/>
  <c r="J222"/>
  <c r="K222" s="1"/>
  <c r="D247"/>
  <c r="E247" s="1"/>
  <c r="K64"/>
  <c r="J15"/>
  <c r="K9"/>
  <c r="E119"/>
  <c r="D117"/>
  <c r="E117" s="1"/>
  <c r="J130"/>
  <c r="K130" s="1"/>
  <c r="E130"/>
  <c r="J134"/>
  <c r="K134" s="1"/>
  <c r="E134"/>
  <c r="D133"/>
  <c r="D154"/>
  <c r="E154" s="1"/>
  <c r="J149"/>
  <c r="E149"/>
  <c r="D184"/>
  <c r="E184" s="1"/>
  <c r="E179"/>
  <c r="J182"/>
  <c r="K182" s="1"/>
  <c r="E182"/>
  <c r="J260"/>
  <c r="K260" s="1"/>
  <c r="E260"/>
  <c r="I15"/>
  <c r="J29"/>
  <c r="K29" s="1"/>
  <c r="J56"/>
  <c r="K56" s="1"/>
  <c r="J65"/>
  <c r="K65" s="1"/>
  <c r="I68"/>
  <c r="K77"/>
  <c r="J89"/>
  <c r="J90"/>
  <c r="K90" s="1"/>
  <c r="J91"/>
  <c r="K91" s="1"/>
  <c r="J92"/>
  <c r="K92" s="1"/>
  <c r="J179"/>
  <c r="K200"/>
  <c r="D68"/>
  <c r="E68" s="1"/>
  <c r="E64"/>
  <c r="G80"/>
  <c r="J79"/>
  <c r="K79" s="1"/>
  <c r="H79"/>
  <c r="H80" s="1"/>
  <c r="G95"/>
  <c r="J94"/>
  <c r="K94" s="1"/>
  <c r="H94"/>
  <c r="J104"/>
  <c r="E104"/>
  <c r="J109"/>
  <c r="E109"/>
  <c r="K118"/>
  <c r="J128"/>
  <c r="E128"/>
  <c r="J166"/>
  <c r="E166"/>
  <c r="E170" s="1"/>
  <c r="G184"/>
  <c r="H184" s="1"/>
  <c r="H179"/>
  <c r="J180"/>
  <c r="K180" s="1"/>
  <c r="E180"/>
  <c r="K240"/>
  <c r="J239"/>
  <c r="J274"/>
  <c r="K274" s="1"/>
  <c r="K273"/>
  <c r="J300"/>
  <c r="K300" s="1"/>
  <c r="H300"/>
  <c r="J325"/>
  <c r="K325" s="1"/>
  <c r="H325"/>
  <c r="H56"/>
  <c r="D95"/>
  <c r="E95" s="1"/>
  <c r="J113"/>
  <c r="K113" s="1"/>
  <c r="J119"/>
  <c r="K119" s="1"/>
  <c r="J120"/>
  <c r="K120" s="1"/>
  <c r="D140"/>
  <c r="E140" s="1"/>
  <c r="D170"/>
  <c r="J288"/>
  <c r="K288" s="1"/>
  <c r="J195"/>
  <c r="K195" s="1"/>
  <c r="J198"/>
  <c r="K198" s="1"/>
  <c r="K199"/>
  <c r="J224"/>
  <c r="K224" s="1"/>
  <c r="J258"/>
  <c r="K258" s="1"/>
  <c r="J310"/>
  <c r="K310" s="1"/>
  <c r="D313"/>
  <c r="J38"/>
  <c r="J151"/>
  <c r="K151" s="1"/>
  <c r="E199"/>
  <c r="E209"/>
  <c r="J209"/>
  <c r="E240"/>
  <c r="E243"/>
  <c r="H258"/>
  <c r="E286"/>
  <c r="J286"/>
  <c r="K286" s="1"/>
  <c r="J299"/>
  <c r="K299" s="1"/>
  <c r="E322"/>
  <c r="J322"/>
  <c r="K322" s="1"/>
  <c r="J324"/>
  <c r="K324" s="1"/>
  <c r="J212" l="1"/>
  <c r="K212" s="1"/>
  <c r="K209"/>
  <c r="J42"/>
  <c r="K42" s="1"/>
  <c r="K38"/>
  <c r="J247"/>
  <c r="K247" s="1"/>
  <c r="K239"/>
  <c r="J117"/>
  <c r="K117" s="1"/>
  <c r="J80"/>
  <c r="K80" s="1"/>
  <c r="J68"/>
  <c r="K68" s="1"/>
  <c r="E313"/>
  <c r="J313"/>
  <c r="K313" s="1"/>
  <c r="J170"/>
  <c r="K170" s="1"/>
  <c r="K166"/>
  <c r="K128"/>
  <c r="J127"/>
  <c r="K127" s="1"/>
  <c r="K109"/>
  <c r="J108"/>
  <c r="K108" s="1"/>
  <c r="K104"/>
  <c r="J184"/>
  <c r="K184" s="1"/>
  <c r="K179"/>
  <c r="K89"/>
  <c r="J95"/>
  <c r="K95" s="1"/>
  <c r="J154"/>
  <c r="K154" s="1"/>
  <c r="K149"/>
  <c r="J133"/>
  <c r="K133" s="1"/>
  <c r="E133"/>
  <c r="E239"/>
  <c r="K15"/>
  <c r="J140" l="1"/>
  <c r="K140" s="1"/>
  <c r="H10" i="183" l="1"/>
  <c r="E10"/>
  <c r="H7"/>
  <c r="E7"/>
  <c r="T19" i="211"/>
  <c r="H19"/>
  <c r="T18"/>
  <c r="H18"/>
  <c r="T17"/>
  <c r="H17"/>
  <c r="T16"/>
  <c r="M16"/>
  <c r="H16"/>
  <c r="T15"/>
  <c r="M15"/>
  <c r="H15"/>
  <c r="T14"/>
  <c r="T20" s="1"/>
  <c r="M14"/>
  <c r="H14"/>
  <c r="T13"/>
  <c r="T12"/>
  <c r="M12"/>
  <c r="H12"/>
  <c r="T11"/>
  <c r="N11"/>
  <c r="M11"/>
  <c r="H11"/>
  <c r="L11" s="1"/>
  <c r="T10"/>
  <c r="N10"/>
  <c r="M10"/>
  <c r="H10"/>
  <c r="L10" s="1"/>
  <c r="W9"/>
  <c r="W20" s="1"/>
  <c r="V9"/>
  <c r="V20" s="1"/>
  <c r="U9"/>
  <c r="U20" s="1"/>
  <c r="T9"/>
  <c r="K9"/>
  <c r="J9"/>
  <c r="N20" s="1"/>
  <c r="I9"/>
  <c r="H9" s="1"/>
  <c r="L20" l="1"/>
  <c r="O9"/>
  <c r="M20"/>
  <c r="L12"/>
  <c r="L14"/>
  <c r="L15"/>
  <c r="L16"/>
  <c r="H20" i="208" l="1"/>
  <c r="I20" s="1"/>
  <c r="G20"/>
  <c r="F20"/>
  <c r="E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H11" i="197"/>
  <c r="I11" s="1"/>
  <c r="G11"/>
  <c r="E11"/>
  <c r="D11"/>
  <c r="F11" s="1"/>
  <c r="I10"/>
  <c r="F10"/>
  <c r="I9"/>
  <c r="F9"/>
  <c r="I8"/>
  <c r="F8"/>
  <c r="L83" i="209"/>
  <c r="J83"/>
  <c r="L82"/>
  <c r="J82"/>
  <c r="L81"/>
  <c r="J81"/>
  <c r="L80"/>
  <c r="J80"/>
  <c r="L79"/>
  <c r="J79"/>
  <c r="L78"/>
  <c r="J78"/>
  <c r="L77"/>
  <c r="J77"/>
  <c r="L76"/>
  <c r="J76"/>
  <c r="H75"/>
  <c r="L75" s="1"/>
  <c r="F75"/>
  <c r="L74"/>
  <c r="J74"/>
  <c r="H73"/>
  <c r="L73" s="1"/>
  <c r="F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J15"/>
  <c r="J14"/>
  <c r="J13"/>
  <c r="H12"/>
  <c r="L12" s="1"/>
  <c r="F12"/>
  <c r="J11"/>
  <c r="J10"/>
  <c r="J9"/>
  <c r="S17" i="213"/>
  <c r="R17"/>
  <c r="P17"/>
  <c r="O17"/>
  <c r="M17"/>
  <c r="L17"/>
  <c r="J17"/>
  <c r="I17"/>
  <c r="H17"/>
  <c r="G17"/>
  <c r="F17"/>
  <c r="E17"/>
  <c r="D17"/>
  <c r="C17"/>
  <c r="J12" i="209" l="1"/>
  <c r="J73"/>
  <c r="J75"/>
  <c r="C3" i="212"/>
  <c r="C2"/>
  <c r="C1"/>
  <c r="D8"/>
  <c r="C8"/>
  <c r="C2" i="200" l="1"/>
  <c r="C1"/>
</calcChain>
</file>

<file path=xl/sharedStrings.xml><?xml version="1.0" encoding="utf-8"?>
<sst xmlns="http://schemas.openxmlformats.org/spreadsheetml/2006/main" count="12560" uniqueCount="7403">
  <si>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</si>
  <si>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</si>
  <si>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</si>
  <si>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</si>
  <si>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</si>
  <si>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</si>
  <si>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</si>
  <si>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ПАЦИЈЕНАТА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</si>
  <si>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</si>
  <si>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</si>
  <si>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</si>
  <si>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</si>
  <si>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</si>
  <si>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</si>
  <si>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</si>
  <si>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</si>
  <si>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</si>
  <si>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</si>
  <si>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</si>
  <si>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</si>
  <si>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</si>
  <si>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</si>
  <si>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</si>
  <si>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</si>
  <si>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</si>
  <si>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</si>
  <si>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</si>
  <si>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</si>
  <si>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</si>
  <si>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</si>
  <si>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</si>
  <si>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</si>
  <si>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</si>
  <si>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</si>
  <si>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</si>
  <si>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</si>
  <si>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</si>
  <si>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</si>
  <si>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</si>
  <si>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</si>
  <si>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</si>
  <si>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</si>
  <si>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</si>
  <si>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</si>
  <si>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</si>
  <si>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</si>
  <si>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</si>
  <si>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</si>
  <si>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</si>
  <si>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</si>
  <si>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</si>
  <si>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</si>
  <si>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</si>
  <si>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</si>
  <si>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</si>
  <si>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</si>
  <si>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</si>
  <si>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</si>
  <si>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</si>
  <si>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</si>
  <si>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</si>
  <si>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</si>
  <si>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</si>
  <si>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</si>
  <si>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</si>
  <si>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</si>
  <si>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</si>
  <si>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</si>
  <si>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</si>
  <si>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</si>
  <si>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</si>
  <si>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</si>
  <si>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</si>
  <si>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</si>
  <si>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</si>
  <si>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</si>
  <si>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</si>
  <si>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</si>
  <si>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</si>
  <si>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</si>
  <si>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</si>
  <si>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</si>
  <si>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</si>
  <si>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</si>
  <si>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</si>
  <si>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</si>
  <si>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</si>
  <si>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</si>
  <si>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</si>
  <si>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</si>
  <si>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</si>
  <si>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</si>
  <si>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</si>
  <si>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</si>
  <si>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</si>
  <si>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</si>
  <si>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</si>
  <si>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</si>
  <si>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</si>
  <si>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</si>
  <si>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</si>
  <si>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</si>
  <si>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</si>
  <si>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</si>
  <si>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</si>
  <si>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</si>
  <si>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</si>
  <si>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</si>
  <si>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</si>
  <si>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</si>
  <si>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</si>
  <si>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</si>
  <si>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</si>
  <si>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</si>
  <si>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</si>
  <si>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</si>
  <si>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</si>
  <si>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</si>
  <si>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</si>
  <si>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</si>
  <si>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</si>
  <si>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</si>
  <si>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</si>
  <si>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</si>
  <si>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</si>
  <si>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</si>
  <si>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</si>
  <si>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</si>
  <si>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</si>
  <si>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</si>
  <si>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</si>
  <si>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</si>
  <si>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</si>
  <si>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</si>
  <si>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</si>
  <si>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</si>
  <si>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</si>
  <si>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</si>
  <si>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</si>
  <si>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</si>
  <si>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</si>
  <si>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</si>
  <si>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</si>
  <si>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</si>
  <si>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</si>
  <si>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</si>
  <si>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</si>
  <si>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</si>
  <si>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</si>
  <si>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</si>
  <si>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</si>
  <si>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</si>
  <si>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</si>
  <si>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</si>
  <si>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</si>
  <si>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</si>
  <si>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</si>
  <si>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</si>
  <si>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</si>
  <si>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</si>
  <si>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</si>
  <si>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</si>
  <si>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</si>
  <si>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</si>
  <si>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</si>
  <si>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</si>
  <si>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</si>
  <si>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</si>
  <si>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</si>
  <si>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</si>
  <si>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</si>
  <si>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000001</t>
  </si>
  <si>
    <t>000002</t>
  </si>
  <si>
    <t>Специјалистички преглед контролни</t>
  </si>
  <si>
    <t>Специјалистички преглед први</t>
  </si>
  <si>
    <t>Отворена биопсија дојке</t>
  </si>
  <si>
    <t>59300-00</t>
  </si>
  <si>
    <t>55076-00</t>
  </si>
  <si>
    <t>Преглед  CORE  биопсије дојке</t>
  </si>
  <si>
    <t>Преглед  биоптата тумора дојке</t>
  </si>
  <si>
    <t>EX TEMPORE анализа добијеног материјала</t>
  </si>
  <si>
    <t>Ексфолијативна цитологија ткива репродуктивних органа жене-неаутоматизована припрема и аутоматизовано бојење</t>
  </si>
  <si>
    <t>Ексфолијативна цитологија ткива  репродуктивних органа жене-аутоматизована припрема и неаутоматизовано бојење</t>
  </si>
  <si>
    <t>Ексфолијативна цитологија ткива  репродуктивних органа жене-неаутоматизована припрема и неаутоматизовано бојење</t>
  </si>
  <si>
    <t>Преглед дела цервикса добијеног методом "омчице"</t>
  </si>
  <si>
    <t>Преглед конизата цервикса</t>
  </si>
  <si>
    <t>Цитолошки преглед  осталих размаза</t>
  </si>
  <si>
    <t>Доказивање присуства различитих ћелијских елемената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</si>
  <si>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</si>
  <si>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Уллтразвучни преглед дојки</t>
  </si>
  <si>
    <t>Ексфолијативна цитологија ткива  репродуктивних органа жене-атоматизована припрема и аутоматизовано бојење</t>
  </si>
  <si>
    <t>Консултативни цитолошки преглед готових препарата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</si>
  <si>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</si>
  <si>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</si>
  <si>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</si>
  <si>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</si>
  <si>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</si>
  <si>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</si>
  <si>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</si>
  <si>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</si>
  <si>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</si>
  <si>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</si>
  <si>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</si>
  <si>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</si>
  <si>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</si>
  <si>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</si>
  <si>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</si>
  <si>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</si>
  <si>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</si>
  <si>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</si>
  <si>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</si>
  <si>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</si>
  <si>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</si>
  <si>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</si>
  <si>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</si>
  <si>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</si>
  <si>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</si>
  <si>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</si>
  <si>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</si>
  <si>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</si>
  <si>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</si>
  <si>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</si>
  <si>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</si>
  <si>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</si>
  <si>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</si>
  <si>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</si>
  <si>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</si>
  <si>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</si>
  <si>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</si>
  <si>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</si>
  <si>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</si>
  <si>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</si>
  <si>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</si>
  <si>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</si>
  <si>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</si>
  <si>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</si>
  <si>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</si>
  <si>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</si>
  <si>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</si>
  <si>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</si>
  <si>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</si>
  <si>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</si>
  <si>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</si>
  <si>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</si>
  <si>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</si>
  <si>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</si>
  <si>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</si>
  <si>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</si>
  <si>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</si>
  <si>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</si>
  <si>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</si>
  <si>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</si>
  <si>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</si>
  <si>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</si>
  <si>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</si>
  <si>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Прегледи у оквиру организованог скрининга рака*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</si>
  <si>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</si>
  <si>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</si>
  <si>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</si>
  <si>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</si>
  <si>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</si>
  <si>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</si>
  <si>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</si>
  <si>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</si>
  <si>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</si>
  <si>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</si>
  <si>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пацијената</t>
  </si>
  <si>
    <t>Број прегледаних узорака</t>
  </si>
  <si>
    <t>В1 АНАЛИЗЕ ОРГАНИЗОВАНОГ СКРИНИНГА  РАКА*</t>
  </si>
  <si>
    <t>L027391</t>
  </si>
  <si>
    <t>L027409</t>
  </si>
  <si>
    <t>L026542</t>
  </si>
  <si>
    <t>L027631</t>
  </si>
  <si>
    <t>L027607</t>
  </si>
  <si>
    <t>L029447</t>
  </si>
  <si>
    <t>L029439</t>
  </si>
  <si>
    <t>L029454</t>
  </si>
  <si>
    <t>L029421</t>
  </si>
  <si>
    <t>L028704</t>
  </si>
  <si>
    <t>L028720</t>
  </si>
  <si>
    <t>L026575-025</t>
  </si>
  <si>
    <t>L029413-025</t>
  </si>
  <si>
    <t>L029801-479,158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</si>
  <si>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</si>
  <si>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</si>
  <si>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</si>
  <si>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</si>
  <si>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</si>
  <si>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</si>
  <si>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</si>
  <si>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</si>
  <si>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</si>
  <si>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</si>
  <si>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</si>
  <si>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</si>
  <si>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</si>
  <si>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</si>
  <si>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</si>
  <si>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</si>
  <si>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</si>
  <si>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</si>
  <si>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</si>
  <si>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</si>
  <si>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</si>
  <si>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</si>
  <si>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</si>
  <si>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</si>
  <si>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</si>
  <si>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</si>
  <si>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</si>
  <si>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</si>
  <si>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</si>
  <si>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</si>
  <si>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</si>
  <si>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</si>
  <si>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</si>
  <si>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</si>
  <si>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</si>
  <si>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</si>
  <si>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</si>
  <si>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</si>
  <si>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</si>
  <si>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</si>
  <si>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</si>
  <si>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</si>
  <si>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</si>
  <si>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</si>
  <si>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</si>
  <si>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</si>
  <si>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</si>
  <si>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</si>
  <si>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</si>
  <si>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</si>
  <si>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</si>
  <si>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</si>
  <si>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</si>
  <si>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</si>
  <si>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</si>
  <si>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</si>
  <si>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Магнетна резонанца (у загради уписати број апарата и број смена)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</si>
  <si>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</si>
  <si>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</si>
  <si>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</si>
  <si>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</si>
  <si>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</si>
  <si>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</si>
  <si>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</si>
  <si>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</si>
  <si>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</si>
  <si>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</si>
  <si>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</si>
  <si>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</si>
  <si>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</si>
  <si>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</si>
  <si>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</si>
  <si>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</si>
  <si>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</si>
  <si>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</si>
  <si>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</si>
  <si>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</si>
  <si>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</si>
  <si>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</si>
  <si>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</si>
  <si>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</si>
  <si>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</si>
  <si>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10. Офталмологија</t>
  </si>
  <si>
    <t>12. Гинекологија</t>
  </si>
  <si>
    <t>ЗА 2018. ГОДИНУ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</si>
  <si>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</si>
  <si>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</si>
  <si>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</si>
  <si>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</si>
  <si>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</si>
  <si>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</si>
  <si>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</si>
  <si>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</si>
  <si>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</si>
  <si>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</si>
  <si>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</si>
  <si>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</si>
  <si>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</si>
  <si>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</si>
  <si>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</si>
  <si>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</si>
  <si>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</si>
  <si>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</si>
  <si>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</si>
  <si>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</si>
  <si>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</si>
  <si>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</si>
  <si>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</si>
  <si>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</si>
  <si>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</si>
  <si>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</si>
  <si>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</si>
  <si>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</si>
  <si>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</si>
  <si>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</si>
  <si>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</si>
  <si>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</si>
  <si>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</si>
  <si>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</si>
  <si>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</si>
  <si>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</si>
  <si>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</si>
  <si>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</si>
  <si>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</si>
  <si>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</si>
  <si>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</si>
  <si>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</si>
  <si>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</si>
  <si>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</si>
  <si>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</si>
  <si>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</si>
  <si>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</si>
  <si>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</si>
  <si>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</si>
  <si>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</si>
  <si>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</si>
  <si>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</si>
  <si>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</si>
  <si>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</si>
  <si>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</si>
  <si>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</si>
  <si>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</si>
  <si>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</si>
  <si>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</si>
  <si>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</si>
  <si>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</si>
  <si>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</si>
  <si>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</si>
  <si>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</si>
  <si>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</si>
  <si>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</si>
  <si>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</si>
  <si>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</si>
  <si>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</si>
  <si>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</si>
  <si>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</si>
  <si>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</si>
  <si>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</si>
  <si>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</si>
  <si>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</si>
  <si>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</si>
  <si>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</si>
  <si>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</si>
  <si>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</si>
  <si>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</si>
  <si>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</si>
  <si>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</si>
  <si>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</si>
  <si>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</si>
  <si>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</si>
  <si>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</si>
  <si>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</si>
  <si>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</si>
  <si>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</si>
  <si>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</si>
  <si>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</si>
  <si>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</si>
  <si>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</si>
  <si>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</si>
  <si>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</si>
  <si>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</si>
  <si>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</si>
  <si>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</si>
  <si>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</si>
  <si>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</si>
  <si>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</si>
  <si>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</si>
  <si>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</si>
  <si>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</si>
  <si>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</si>
  <si>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</si>
  <si>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</si>
  <si>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</si>
  <si>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</si>
  <si>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</si>
  <si>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</si>
  <si>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</si>
  <si>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</si>
  <si>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</si>
  <si>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</si>
  <si>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</si>
  <si>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</si>
  <si>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</si>
  <si>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</si>
  <si>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</si>
  <si>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</si>
  <si>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</si>
  <si>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</si>
  <si>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</si>
  <si>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</si>
  <si>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</si>
  <si>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</si>
  <si>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</si>
  <si>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</si>
  <si>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</si>
  <si>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</si>
  <si>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</si>
  <si>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</si>
  <si>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</si>
  <si>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</si>
  <si>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</si>
  <si>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</si>
  <si>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</si>
  <si>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</si>
  <si>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</si>
  <si>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</si>
  <si>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</si>
  <si>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</si>
  <si>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</si>
  <si>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</si>
  <si>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</si>
  <si>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</si>
  <si>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</si>
  <si>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</si>
  <si>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</si>
  <si>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</si>
  <si>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</si>
  <si>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</si>
  <si>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</si>
  <si>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</si>
  <si>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</si>
  <si>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</si>
  <si>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</si>
  <si>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</si>
  <si>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</si>
  <si>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</si>
  <si>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</si>
  <si>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</si>
  <si>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</si>
  <si>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</si>
  <si>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</si>
  <si>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</si>
  <si>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</si>
  <si>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</si>
  <si>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</si>
  <si>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</si>
  <si>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</si>
  <si>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</si>
  <si>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</si>
  <si>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</si>
  <si>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</si>
  <si>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</si>
  <si>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</si>
  <si>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</si>
  <si>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</si>
  <si>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</si>
  <si>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</si>
  <si>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</si>
  <si>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</si>
  <si>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</si>
  <si>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</si>
  <si>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</si>
  <si>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</si>
  <si>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</si>
  <si>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</si>
  <si>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</si>
  <si>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</si>
  <si>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</si>
  <si>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</si>
  <si>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</si>
  <si>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</si>
  <si>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</si>
  <si>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</si>
  <si>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</si>
  <si>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</si>
  <si>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</si>
  <si>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</si>
  <si>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</si>
  <si>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</si>
  <si>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</si>
  <si>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</si>
  <si>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</si>
  <si>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</si>
  <si>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</si>
  <si>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</si>
  <si>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</si>
  <si>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</si>
  <si>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</si>
  <si>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</si>
  <si>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</si>
  <si>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</si>
  <si>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</si>
  <si>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</si>
  <si>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</si>
  <si>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</si>
  <si>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</si>
  <si>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</si>
  <si>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</si>
  <si>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</si>
  <si>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</si>
  <si>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</si>
  <si>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</si>
  <si>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</si>
  <si>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</si>
  <si>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</si>
  <si>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</si>
  <si>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</si>
  <si>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</si>
  <si>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</si>
  <si>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</si>
  <si>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</si>
  <si>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</si>
  <si>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</si>
  <si>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</si>
  <si>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</si>
  <si>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</si>
  <si>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</si>
  <si>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</si>
  <si>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</si>
  <si>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</si>
  <si>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</si>
  <si>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</si>
  <si>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</si>
  <si>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</si>
  <si>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</si>
  <si>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</si>
  <si>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</si>
  <si>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</si>
  <si>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</si>
  <si>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</si>
  <si>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</si>
  <si>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</si>
  <si>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</si>
  <si>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</si>
  <si>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</si>
  <si>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</si>
  <si>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</si>
  <si>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</si>
  <si>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</si>
  <si>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</si>
  <si>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</si>
  <si>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</si>
  <si>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</si>
  <si>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</si>
  <si>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</si>
  <si>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</si>
  <si>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</si>
  <si>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</si>
  <si>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</si>
  <si>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</si>
  <si>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</si>
  <si>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</si>
  <si>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</si>
  <si>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</si>
  <si>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</si>
  <si>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</si>
  <si>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</si>
  <si>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</si>
  <si>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</si>
  <si>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</si>
  <si>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</si>
  <si>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</si>
  <si>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</si>
  <si>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</si>
  <si>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</si>
  <si>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</si>
  <si>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</si>
  <si>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</si>
  <si>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</si>
  <si>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</si>
  <si>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</si>
  <si>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</si>
  <si>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</si>
  <si>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</si>
  <si>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</si>
  <si>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</si>
  <si>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</si>
  <si>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</si>
  <si>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</si>
  <si>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</si>
  <si>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</si>
  <si>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</si>
  <si>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</si>
  <si>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</si>
  <si>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</si>
  <si>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</si>
  <si>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</si>
  <si>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</si>
  <si>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</si>
  <si>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</si>
  <si>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</si>
  <si>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</si>
  <si>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</si>
  <si>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</si>
  <si>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</si>
  <si>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</si>
  <si>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</si>
  <si>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</si>
  <si>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</si>
  <si>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</si>
  <si>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</si>
  <si>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</si>
  <si>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</si>
  <si>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</si>
  <si>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</si>
  <si>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</si>
  <si>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</si>
  <si>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</si>
  <si>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</si>
  <si>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</si>
  <si>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</si>
  <si>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</si>
  <si>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</si>
  <si>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</si>
  <si>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</si>
  <si>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</si>
  <si>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</si>
  <si>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</si>
  <si>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</si>
  <si>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</si>
  <si>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</si>
  <si>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</si>
  <si>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</si>
  <si>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</si>
  <si>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</si>
  <si>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</si>
  <si>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</si>
  <si>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</si>
  <si>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</si>
  <si>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</si>
  <si>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</si>
  <si>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</si>
  <si>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</si>
  <si>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</si>
  <si>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</si>
  <si>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</si>
  <si>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</si>
  <si>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</si>
  <si>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</si>
  <si>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</si>
  <si>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</si>
  <si>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</si>
  <si>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</si>
  <si>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</si>
  <si>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</si>
  <si>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</si>
  <si>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</si>
  <si>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</si>
  <si>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</si>
  <si>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</si>
  <si>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</si>
  <si>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</si>
  <si>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</si>
  <si>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</si>
  <si>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</si>
  <si>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</si>
  <si>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</si>
  <si>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</si>
  <si>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</si>
  <si>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</si>
  <si>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</si>
  <si>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</si>
  <si>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</si>
  <si>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</si>
  <si>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</si>
  <si>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</si>
  <si>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</si>
  <si>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</si>
  <si>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</si>
  <si>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</si>
  <si>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</si>
  <si>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</si>
  <si>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</si>
  <si>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</si>
  <si>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</si>
  <si>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</si>
  <si>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</si>
  <si>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</si>
  <si>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</si>
  <si>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</si>
  <si>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</si>
  <si>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</si>
  <si>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</si>
  <si>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</si>
  <si>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</si>
  <si>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</si>
  <si>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</si>
  <si>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</si>
  <si>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</si>
  <si>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</si>
  <si>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</si>
  <si>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</si>
  <si>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</si>
  <si>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</si>
  <si>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</si>
  <si>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</si>
  <si>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</si>
  <si>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</si>
  <si>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</si>
  <si>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</si>
  <si>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</si>
  <si>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</si>
  <si>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</si>
  <si>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</si>
  <si>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</si>
  <si>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</si>
  <si>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</si>
  <si>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</si>
  <si>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</si>
  <si>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</si>
  <si>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</si>
  <si>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</si>
  <si>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</si>
  <si>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</si>
  <si>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</si>
  <si>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</si>
  <si>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</si>
  <si>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</si>
  <si>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</si>
  <si>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</si>
  <si>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</si>
  <si>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</si>
  <si>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</si>
  <si>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</si>
  <si>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</si>
  <si>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</si>
  <si>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</si>
  <si>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</si>
  <si>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</si>
  <si>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</si>
  <si>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</si>
  <si>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</si>
  <si>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</si>
  <si>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</si>
  <si>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</si>
  <si>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</si>
  <si>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</si>
  <si>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</si>
  <si>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</si>
  <si>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</si>
  <si>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</si>
  <si>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</si>
  <si>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</si>
  <si>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</si>
  <si>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</si>
  <si>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</si>
  <si>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</si>
  <si>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</si>
  <si>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</si>
  <si>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</si>
  <si>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</si>
  <si>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</si>
  <si>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</si>
  <si>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</si>
  <si>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</si>
  <si>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</si>
  <si>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</si>
  <si>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</si>
  <si>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</si>
  <si>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</si>
  <si>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</si>
  <si>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</si>
  <si>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</si>
  <si>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</si>
  <si>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</si>
  <si>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</si>
  <si>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</si>
  <si>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</si>
  <si>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</si>
  <si>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</si>
  <si>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</si>
  <si>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</si>
  <si>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</si>
  <si>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</si>
  <si>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</si>
  <si>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</si>
  <si>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</si>
  <si>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</si>
  <si>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</si>
  <si>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</si>
  <si>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</si>
  <si>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</si>
  <si>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</si>
  <si>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</si>
  <si>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</si>
  <si>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</si>
  <si>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</si>
  <si>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</si>
  <si>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</si>
  <si>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</si>
  <si>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</si>
  <si>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</si>
  <si>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</si>
  <si>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</si>
  <si>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</si>
  <si>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</si>
  <si>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</si>
  <si>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</si>
  <si>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</si>
  <si>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</si>
  <si>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</si>
  <si>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</si>
  <si>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</si>
  <si>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</si>
  <si>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</si>
  <si>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</si>
  <si>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</si>
  <si>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</si>
  <si>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</si>
  <si>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</si>
  <si>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</si>
  <si>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</si>
  <si>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</si>
  <si>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</si>
  <si>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</si>
  <si>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</si>
  <si>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</si>
  <si>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</si>
  <si>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</si>
  <si>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</si>
  <si>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</si>
  <si>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</si>
  <si>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</si>
  <si>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</si>
  <si>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</si>
  <si>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</si>
  <si>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</si>
  <si>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</si>
  <si>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</si>
  <si>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</si>
  <si>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</si>
  <si>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</si>
  <si>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</si>
  <si>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</si>
  <si>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</si>
  <si>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</si>
  <si>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</si>
  <si>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</si>
  <si>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</si>
  <si>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</si>
  <si>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</si>
  <si>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</si>
  <si>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</si>
  <si>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</si>
  <si>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</si>
  <si>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</si>
  <si>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</si>
  <si>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</si>
  <si>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</si>
  <si>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</si>
  <si>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</si>
  <si>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</si>
  <si>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</si>
  <si>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</si>
  <si>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</si>
  <si>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</si>
  <si>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</si>
  <si>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</si>
  <si>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</si>
  <si>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</si>
  <si>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</si>
  <si>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</si>
  <si>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</si>
  <si>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</si>
  <si>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</si>
  <si>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</si>
  <si>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</si>
  <si>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</si>
  <si>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</si>
  <si>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</si>
  <si>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</si>
  <si>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</si>
  <si>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</si>
  <si>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</si>
  <si>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</si>
  <si>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</si>
  <si>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</si>
  <si>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</si>
  <si>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</si>
  <si>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</si>
  <si>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</si>
  <si>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</si>
  <si>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</si>
  <si>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</si>
  <si>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</si>
  <si>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</si>
  <si>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</si>
  <si>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</si>
  <si>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</si>
  <si>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</si>
  <si>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</si>
  <si>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</si>
  <si>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</si>
  <si>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</si>
  <si>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</si>
  <si>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</si>
  <si>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</si>
  <si>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</si>
  <si>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</si>
  <si>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</si>
  <si>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</si>
  <si>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</si>
  <si>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</si>
  <si>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</si>
  <si>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</si>
  <si>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</si>
  <si>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</si>
  <si>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</si>
  <si>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</si>
  <si>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</si>
  <si>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</si>
  <si>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</si>
  <si>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</si>
  <si>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</si>
  <si>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</si>
  <si>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</si>
  <si>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</si>
  <si>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</si>
  <si>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</si>
  <si>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</si>
  <si>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</si>
  <si>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</si>
  <si>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</si>
  <si>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</si>
  <si>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</si>
  <si>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</si>
  <si>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</si>
  <si>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</si>
  <si>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</si>
  <si>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</si>
  <si>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</si>
  <si>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</si>
  <si>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</si>
  <si>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</si>
  <si>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</si>
  <si>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</si>
  <si>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</si>
  <si>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</si>
  <si>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</si>
  <si>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</si>
  <si>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</si>
  <si>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</si>
  <si>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</si>
  <si>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</si>
  <si>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</si>
  <si>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</si>
  <si>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</si>
  <si>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</si>
  <si>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</si>
  <si>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</si>
  <si>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</si>
  <si>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</si>
  <si>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</si>
  <si>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</si>
  <si>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</si>
  <si>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</si>
  <si>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</si>
  <si>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</si>
  <si>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</si>
  <si>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</si>
  <si>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</si>
  <si>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</si>
  <si>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</si>
  <si>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</si>
  <si>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</si>
  <si>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</si>
  <si>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</si>
  <si>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</si>
  <si>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</si>
  <si>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</si>
  <si>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</si>
  <si>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</si>
  <si>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</si>
  <si>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</si>
  <si>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</si>
  <si>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</si>
  <si>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</si>
  <si>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</si>
  <si>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</si>
  <si>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</si>
  <si>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</si>
  <si>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</si>
  <si>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</si>
  <si>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</si>
  <si>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</si>
  <si>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</si>
  <si>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</si>
  <si>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</si>
  <si>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</si>
  <si>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</si>
  <si>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</si>
  <si>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</si>
  <si>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</si>
  <si>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</si>
  <si>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</si>
  <si>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</si>
  <si>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</si>
  <si>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</si>
  <si>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</si>
  <si>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</si>
  <si>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</si>
  <si>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</si>
  <si>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</si>
  <si>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</si>
  <si>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</si>
  <si>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</si>
  <si>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</si>
  <si>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</si>
  <si>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</si>
  <si>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</si>
  <si>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</si>
  <si>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</si>
  <si>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</si>
  <si>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</si>
  <si>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</si>
  <si>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</si>
  <si>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</si>
  <si>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</si>
  <si>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</si>
  <si>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</si>
  <si>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</si>
  <si>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</si>
  <si>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</si>
  <si>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</si>
  <si>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</si>
  <si>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</si>
  <si>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</si>
  <si>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</si>
  <si>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</si>
  <si>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</si>
  <si>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</si>
  <si>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</si>
  <si>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</si>
  <si>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</si>
  <si>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</si>
  <si>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</si>
  <si>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</si>
  <si>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</si>
  <si>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</si>
  <si>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</si>
  <si>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</si>
  <si>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</si>
  <si>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</si>
  <si>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</si>
  <si>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</si>
  <si>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</si>
  <si>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</si>
  <si>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</si>
  <si>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</si>
  <si>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</si>
  <si>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</si>
  <si>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</si>
  <si>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</si>
  <si>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</si>
  <si>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</si>
  <si>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</si>
  <si>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</si>
  <si>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</si>
  <si>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</si>
  <si>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</si>
  <si>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</si>
  <si>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</si>
  <si>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</si>
  <si>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</si>
  <si>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</si>
  <si>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</si>
  <si>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</si>
  <si>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</si>
  <si>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</si>
  <si>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</si>
  <si>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</si>
  <si>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</si>
  <si>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</si>
  <si>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</si>
  <si>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</si>
  <si>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</si>
  <si>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</si>
  <si>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</si>
  <si>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</si>
  <si>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</si>
  <si>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</si>
  <si>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</si>
  <si>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</si>
  <si>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</si>
  <si>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</si>
  <si>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</si>
  <si>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</si>
  <si>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</si>
  <si>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</si>
  <si>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</si>
  <si>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</si>
  <si>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</si>
  <si>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</si>
  <si>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</si>
  <si>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</si>
  <si>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</si>
  <si>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</si>
  <si>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</si>
  <si>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</si>
  <si>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</si>
  <si>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</si>
  <si>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</si>
  <si>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</si>
  <si>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</si>
  <si>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</si>
  <si>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</si>
  <si>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</si>
  <si>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</si>
  <si>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</si>
  <si>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</si>
  <si>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</si>
  <si>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</si>
  <si>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</si>
  <si>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</si>
  <si>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</si>
  <si>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</si>
  <si>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</si>
  <si>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</si>
  <si>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</si>
  <si>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</si>
  <si>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</si>
  <si>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</si>
  <si>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</si>
  <si>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</si>
  <si>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</si>
  <si>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</si>
  <si>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</si>
  <si>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</si>
  <si>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</si>
  <si>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</si>
  <si>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</si>
  <si>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</si>
  <si>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</si>
  <si>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</si>
  <si>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</si>
  <si>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</si>
  <si>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</si>
  <si>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</si>
  <si>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</si>
  <si>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</si>
  <si>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</si>
  <si>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</si>
  <si>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</si>
  <si>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</si>
  <si>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</si>
  <si>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</si>
  <si>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</si>
  <si>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</si>
  <si>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</si>
  <si>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</si>
  <si>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</si>
  <si>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</si>
  <si>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</si>
  <si>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</si>
  <si>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</si>
  <si>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</si>
  <si>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</si>
  <si>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</si>
  <si>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</si>
  <si>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</si>
  <si>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</si>
  <si>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</si>
  <si>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</si>
  <si>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</si>
  <si>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</si>
  <si>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</si>
  <si>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</si>
  <si>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</si>
  <si>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</si>
  <si>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</si>
  <si>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</si>
  <si>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</si>
  <si>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</si>
  <si>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</si>
  <si>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</si>
  <si>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</si>
  <si>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</si>
  <si>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</si>
  <si>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</si>
  <si>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</si>
  <si>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</si>
  <si>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</si>
  <si>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</si>
  <si>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</si>
  <si>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</si>
  <si>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</si>
  <si>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</si>
  <si>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</si>
  <si>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</si>
  <si>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</si>
  <si>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</si>
  <si>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</si>
  <si>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</si>
  <si>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</si>
  <si>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</si>
  <si>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</si>
  <si>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</si>
  <si>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</si>
  <si>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</si>
  <si>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</si>
  <si>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</si>
  <si>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</si>
  <si>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</si>
  <si>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</si>
  <si>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</si>
  <si>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</si>
  <si>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</si>
  <si>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</si>
  <si>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</si>
  <si>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</si>
  <si>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</si>
  <si>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</si>
  <si>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</si>
  <si>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</si>
  <si>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</si>
  <si>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</si>
  <si>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</si>
  <si>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</si>
  <si>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</si>
  <si>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</si>
  <si>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</si>
  <si>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</si>
  <si>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</si>
  <si>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</si>
  <si>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</si>
  <si>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</si>
  <si>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</si>
  <si>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</si>
  <si>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</si>
  <si>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</si>
  <si>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</si>
  <si>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</si>
  <si>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</si>
  <si>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</si>
  <si>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</si>
  <si>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</si>
  <si>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</si>
  <si>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</si>
  <si>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</si>
  <si>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</si>
  <si>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</si>
  <si>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</si>
  <si>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</si>
  <si>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</si>
  <si>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</si>
  <si>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</si>
  <si>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</si>
  <si>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</si>
  <si>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</si>
  <si>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</si>
  <si>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</si>
  <si>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</si>
  <si>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</si>
  <si>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</si>
  <si>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</si>
  <si>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</si>
  <si>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</si>
  <si>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</si>
  <si>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</si>
  <si>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</si>
  <si>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</si>
  <si>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</si>
  <si>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</si>
  <si>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</si>
  <si>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</si>
  <si>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</si>
  <si>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</si>
  <si>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</si>
  <si>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</si>
  <si>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</si>
  <si>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</si>
  <si>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</si>
  <si>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</si>
  <si>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</si>
  <si>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</si>
  <si>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</si>
  <si>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</si>
  <si>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</si>
  <si>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</si>
  <si>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</si>
  <si>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</si>
  <si>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</si>
  <si>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</si>
  <si>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</si>
  <si>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</si>
  <si>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</si>
  <si>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</si>
  <si>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</si>
  <si>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</si>
  <si>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</si>
  <si>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</si>
  <si>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</si>
  <si>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</si>
  <si>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</si>
  <si>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</si>
  <si>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</si>
  <si>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</si>
  <si>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</si>
  <si>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</si>
  <si>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</si>
  <si>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</si>
  <si>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</si>
  <si>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</si>
  <si>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</si>
  <si>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</si>
  <si>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</si>
  <si>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</si>
  <si>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</si>
  <si>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</si>
  <si>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</si>
  <si>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</si>
  <si>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</si>
  <si>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</si>
  <si>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</si>
  <si>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</si>
  <si>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</si>
  <si>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</si>
  <si>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</si>
  <si>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</si>
  <si>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</si>
  <si>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</si>
  <si>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</si>
  <si>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</si>
  <si>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</si>
  <si>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</si>
  <si>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</si>
  <si>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</si>
  <si>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</si>
  <si>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</si>
  <si>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</si>
  <si>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</si>
  <si>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</si>
  <si>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</si>
  <si>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</si>
  <si>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</si>
  <si>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</si>
  <si>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</si>
  <si>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</si>
  <si>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</si>
  <si>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</si>
  <si>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</si>
  <si>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</si>
  <si>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</si>
  <si>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</si>
  <si>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</si>
  <si>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</si>
  <si>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</si>
  <si>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</si>
  <si>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</si>
  <si>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</si>
  <si>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</si>
  <si>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</si>
  <si>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</si>
  <si>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</si>
  <si>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</si>
  <si>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</si>
  <si>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</si>
  <si>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</si>
  <si>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</si>
  <si>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</si>
  <si>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</si>
  <si>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</si>
  <si>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</si>
  <si>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</si>
  <si>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</si>
  <si>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</si>
  <si>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</si>
  <si>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</si>
  <si>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</si>
  <si>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</si>
  <si>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</si>
  <si>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</si>
  <si>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</si>
  <si>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</si>
  <si>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</si>
  <si>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</si>
  <si>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</si>
  <si>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</si>
  <si>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</si>
  <si>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</si>
  <si>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</si>
  <si>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</si>
  <si>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</si>
  <si>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</si>
  <si>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</si>
  <si>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</si>
  <si>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</si>
  <si>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</si>
  <si>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</si>
  <si>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</si>
  <si>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</si>
  <si>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</si>
  <si>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</si>
  <si>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</si>
  <si>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</si>
  <si>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</si>
  <si>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</si>
  <si>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</si>
  <si>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</si>
  <si>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</si>
  <si>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</si>
  <si>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</si>
  <si>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</si>
  <si>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</si>
  <si>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</si>
  <si>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</si>
  <si>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</si>
  <si>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</si>
  <si>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</si>
  <si>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</si>
  <si>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</si>
  <si>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</si>
  <si>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</si>
  <si>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</si>
  <si>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</si>
  <si>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</si>
  <si>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</si>
  <si>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</si>
  <si>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</si>
  <si>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</si>
  <si>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</si>
  <si>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</si>
  <si>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</si>
  <si>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</si>
  <si>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</si>
  <si>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</si>
  <si>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</si>
  <si>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</si>
  <si>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</si>
  <si>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</si>
  <si>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</si>
  <si>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</si>
  <si>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</si>
  <si>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</si>
  <si>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</si>
  <si>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</si>
  <si>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</si>
  <si>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</si>
  <si>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</si>
  <si>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</si>
  <si>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</si>
  <si>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</si>
  <si>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</si>
  <si>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</si>
  <si>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</si>
  <si>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</si>
  <si>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</si>
  <si>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</si>
  <si>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</si>
  <si>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</si>
  <si>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</si>
  <si>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</si>
  <si>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</si>
  <si>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</si>
  <si>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</si>
  <si>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</si>
  <si>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</si>
  <si>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</si>
  <si>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</si>
  <si>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</si>
  <si>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</si>
  <si>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</si>
  <si>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</si>
  <si>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</si>
  <si>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</si>
  <si>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</si>
  <si>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</si>
  <si>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</si>
  <si>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</si>
  <si>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</si>
  <si>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</si>
  <si>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</si>
  <si>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</si>
  <si>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</si>
  <si>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</si>
  <si>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</si>
  <si>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</si>
  <si>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</si>
  <si>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</si>
  <si>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</si>
  <si>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</si>
  <si>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</si>
  <si>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</si>
  <si>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</si>
  <si>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</si>
  <si>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</si>
  <si>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</si>
  <si>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</si>
  <si>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</si>
  <si>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</si>
  <si>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</si>
  <si>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</si>
  <si>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</si>
  <si>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</si>
  <si>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</si>
  <si>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</si>
  <si>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</si>
  <si>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</si>
  <si>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</si>
  <si>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</si>
  <si>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</si>
  <si>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</si>
  <si>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</si>
  <si>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</si>
  <si>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</si>
  <si>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</si>
  <si>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</si>
  <si>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</si>
  <si>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</si>
  <si>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</si>
  <si>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</si>
  <si>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</si>
  <si>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</si>
  <si>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</si>
  <si>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</si>
  <si>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</si>
  <si>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</si>
  <si>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</si>
  <si>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</si>
  <si>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</si>
  <si>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</si>
  <si>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</si>
  <si>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</si>
  <si>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</si>
  <si>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</si>
  <si>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</si>
  <si>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</si>
  <si>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</si>
  <si>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</si>
  <si>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</si>
  <si>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</si>
  <si>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</si>
  <si>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</si>
  <si>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</si>
  <si>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</si>
  <si>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</si>
  <si>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</si>
  <si>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</si>
  <si>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</si>
  <si>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</si>
  <si>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</si>
  <si>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</si>
  <si>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</si>
  <si>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</si>
  <si>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</si>
  <si>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</si>
  <si>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</si>
  <si>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</si>
  <si>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</si>
  <si>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</si>
  <si>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</si>
  <si>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</si>
  <si>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</si>
  <si>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</si>
  <si>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</si>
  <si>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</si>
  <si>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</si>
  <si>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</si>
  <si>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</si>
  <si>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</si>
  <si>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</si>
  <si>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</si>
  <si>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</si>
  <si>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</si>
  <si>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</si>
  <si>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</si>
  <si>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</si>
  <si>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</si>
  <si>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</si>
  <si>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</si>
  <si>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</si>
  <si>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</si>
  <si>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</si>
  <si>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</si>
  <si>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</si>
  <si>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</si>
  <si>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</si>
  <si>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</si>
  <si>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</si>
  <si>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</si>
  <si>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</si>
  <si>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</si>
  <si>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</si>
  <si>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</si>
  <si>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</si>
  <si>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</si>
  <si>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</si>
  <si>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</si>
  <si>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</si>
  <si>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</si>
  <si>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</si>
  <si>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</si>
  <si>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</si>
  <si>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</si>
  <si>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</si>
  <si>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</si>
  <si>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</si>
  <si>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</si>
  <si>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</si>
  <si>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</si>
  <si>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</si>
  <si>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</si>
  <si>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</si>
  <si>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</si>
  <si>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</si>
  <si>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</si>
  <si>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</si>
  <si>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</si>
  <si>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</si>
  <si>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</si>
  <si>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</si>
  <si>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</si>
  <si>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</si>
  <si>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</si>
  <si>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</si>
  <si>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</si>
  <si>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</si>
  <si>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</si>
  <si>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</si>
  <si>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</si>
  <si>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</si>
  <si>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</si>
  <si>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</si>
  <si>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</si>
  <si>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</si>
  <si>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</si>
  <si>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</si>
  <si>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</si>
  <si>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</si>
  <si>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</si>
  <si>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</si>
  <si>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</si>
  <si>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</si>
  <si>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</si>
  <si>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</si>
  <si>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</si>
  <si>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</si>
  <si>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</si>
  <si>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</si>
  <si>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</si>
  <si>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</si>
  <si>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</si>
  <si>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</si>
  <si>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</si>
  <si>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</si>
  <si>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</si>
  <si>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</si>
  <si>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</si>
  <si>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</si>
  <si>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</si>
  <si>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</si>
  <si>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</si>
  <si>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</si>
  <si>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</si>
  <si>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</si>
  <si>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</si>
  <si>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</si>
  <si>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</si>
  <si>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</si>
  <si>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</si>
  <si>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</si>
  <si>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</si>
  <si>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</si>
  <si>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</si>
  <si>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</si>
  <si>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</si>
  <si>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</si>
  <si>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</si>
  <si>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</si>
  <si>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</si>
  <si>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</si>
  <si>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</si>
  <si>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</si>
  <si>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</si>
  <si>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</si>
  <si>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</si>
  <si>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</si>
  <si>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</si>
  <si>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</si>
  <si>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</si>
  <si>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</si>
  <si>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</si>
  <si>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</si>
  <si>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</si>
  <si>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</si>
  <si>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</si>
  <si>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</si>
  <si>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</si>
  <si>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</si>
  <si>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</si>
  <si>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</si>
  <si>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</si>
  <si>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</si>
  <si>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</si>
  <si>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</si>
  <si>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</si>
  <si>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</si>
  <si>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</si>
  <si>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</si>
  <si>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</si>
  <si>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</si>
  <si>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</si>
  <si>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</si>
  <si>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</si>
  <si>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</si>
  <si>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</si>
  <si>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</si>
  <si>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</si>
  <si>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</si>
  <si>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</si>
  <si>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</si>
  <si>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</si>
  <si>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</si>
  <si>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</si>
  <si>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</si>
  <si>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</si>
  <si>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</si>
  <si>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</si>
  <si>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</si>
  <si>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>30.06.2018.</t>
  </si>
  <si>
    <t>Извршено     I-VI</t>
  </si>
  <si>
    <t xml:space="preserve">Број нових пацијената на листи чекања 01.01.-30.06.2018.         </t>
  </si>
  <si>
    <t xml:space="preserve">Укупан број пацијената на листи чекања на дан 30.6.2018. </t>
  </si>
  <si>
    <t>Број исписаних болесника  I-VI 2018.</t>
  </si>
  <si>
    <t>Број бо  дана  I-VI 2018.</t>
  </si>
  <si>
    <t>Просечна дневна заузетост постеља  I-VI 2018. (%)</t>
  </si>
  <si>
    <t>Извршено  I-VI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</si>
  <si>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</si>
  <si>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</si>
  <si>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</si>
  <si>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</si>
  <si>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</si>
  <si>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Просечна дужина чекања у данима пресек 30.06.2018.</t>
  </si>
  <si>
    <t xml:space="preserve">Извршен укупан број процедура 01.01.-30.06.2018.  </t>
  </si>
  <si>
    <t xml:space="preserve">Извршен број процедура за пацијенте који су на листи чекања 01.01.-30.06.2018.  </t>
  </si>
  <si>
    <t>План 2018.</t>
  </si>
  <si>
    <t>Извршено I-VI.</t>
  </si>
  <si>
    <t>СЛУЖБА ЗА ПНЕУМОФТИЗИОЛОГИЈУ</t>
  </si>
  <si>
    <t xml:space="preserve">СЛУЖБА ЗА ИНТЕРНУ МЕДИЦИНУ </t>
  </si>
  <si>
    <t>СЛУЖБА ЗА ПЕДИЈАТРИЈУ</t>
  </si>
  <si>
    <t>СЛУЖБА ЗА ИНФЕКТОЛОГИЈУ</t>
  </si>
  <si>
    <t>СЛУЖБА НЕУРОЛОГИЈУ</t>
  </si>
  <si>
    <t>СЛУЖБА ЗА ПСИХИЈАТРИЈУ</t>
  </si>
  <si>
    <t>СЛУЖБА ЗА ДЕРМАТОЛОГИЈУ</t>
  </si>
  <si>
    <t>СЛУЖБА ЗА ОПШТЕ ХИРУРГИЈУ СА ДЕЧИЈОМ ХИРУРГИЈОМ</t>
  </si>
  <si>
    <t>СЛУЖБА ЗА УРОЛОГИЈУ</t>
  </si>
  <si>
    <t>СЛУЖБА ЗА ОРТОПЕДИЈУ СА ТРАУМАТОЛОГИЈОМ</t>
  </si>
  <si>
    <t>СЛУЖБА ЗА ГИНЕКОЛОГИЈУ И АКУШЕРСТВО СА НЕОНАТОЛОГИЈОМ-ОДСЕК ЗА ГИНЕКОЛОГИЈУ</t>
  </si>
  <si>
    <t>СЛУЖБА ЗА ГИНЕКОЛОГИЈУ И АКУШЕРСТВО СА НЕОНАТОЛОГИЈОМ-ОДСЕК ЗА АКУШЕРСТВО</t>
  </si>
  <si>
    <t>СЛУЖБА ЗА ОФТАЛМОЛОГИЈУ</t>
  </si>
  <si>
    <t>СЛУЖБА ЗА ОТОРИНОЛАРИНГОЛОГИЈУ СА МАКСИЛОФАЦИЈАЛНОМ ХИРУРГИЈОМ</t>
  </si>
  <si>
    <t>СЛУЖБА ЗА АНЕСТЕЗИЈУ И РЕАНИМАЦИЈУ СА ИНТЕЗИВНОМ НЕГОМ</t>
  </si>
  <si>
    <t>СЛУЖБА ЗА ПРОДУЖЕНО ЛЕЧЕЊЕ И ФИЗИКАЛНУ МЕДИЦИНУ-ОДСЕК ЗА ПАЛИЈАТИВНО ЗБРИЊАВАЊЕ</t>
  </si>
  <si>
    <t>СЛУЖБА ЗА ПРОДУЖЕНО ЛЕЧЕЊЕ И ФИЗИКАЛНУ МЕДИЦИНУ</t>
  </si>
  <si>
    <t>Општа болница Чачак</t>
  </si>
  <si>
    <t>% Извршења у  односу на план</t>
  </si>
  <si>
    <t>ДЕЧЈЕ</t>
  </si>
  <si>
    <t>ДЕЧЈА ХИРУРГИЈА</t>
  </si>
  <si>
    <t>ОРЛ</t>
  </si>
  <si>
    <t>ОПШТА БОЛНИЦА ЧАЧАК</t>
  </si>
  <si>
    <t>30.06.2018. година</t>
  </si>
  <si>
    <t>Извршено    I-VI</t>
  </si>
  <si>
    <t>%Извршење према плану</t>
  </si>
  <si>
    <t>Служба за интерну медицину</t>
  </si>
  <si>
    <t>Служба за пнеумофтизиологију</t>
  </si>
  <si>
    <t>Служба за педијатрију</t>
  </si>
  <si>
    <t>Служба за инфектологију</t>
  </si>
  <si>
    <t>Служба за неурологију</t>
  </si>
  <si>
    <t>Служба за психијатрију</t>
  </si>
  <si>
    <t>Одељење за онкологију</t>
  </si>
  <si>
    <t>Служба опште хирургије а дечјом хирургијом</t>
  </si>
  <si>
    <t>Служба за ортопедију са трауматологијом</t>
  </si>
  <si>
    <t>Служба за урологију</t>
  </si>
  <si>
    <t>Служба за гинекологију и акушерство са неонатологијом</t>
  </si>
  <si>
    <t>Служба за офталмологију</t>
  </si>
  <si>
    <t>Служба за ототиноларингологију са максилофацијалном хирургијом</t>
  </si>
  <si>
    <t>30.06.2018.год.</t>
  </si>
  <si>
    <t>Р бр.</t>
  </si>
  <si>
    <t>% Извршења у односу на план</t>
  </si>
  <si>
    <t>%Извршења у односу на план</t>
  </si>
  <si>
    <t>Хронични</t>
  </si>
  <si>
    <t>Акутни</t>
  </si>
  <si>
    <t>Пролазни</t>
  </si>
  <si>
    <t>ХЕМОДИЈАЛИЗА УКУПНО</t>
  </si>
  <si>
    <t>13100-04</t>
  </si>
  <si>
    <t>ПЕРИТОНЕАЛНА ДИЈАЛИЗА УКУПНО</t>
  </si>
  <si>
    <t>КОНТИНУИРАНИ ПОСТУПЦИ ЗАМЕНЕ БУБРЕЖНЕ ФУНКЦИЈЕ (CRRT) И ПЛАЗМАФЕРЕЗА</t>
  </si>
  <si>
    <t>30.06.2018. године</t>
  </si>
  <si>
    <t>План за 2018</t>
  </si>
  <si>
    <t>СЛУЖБА ЗА АНЕСТЕЗИЈУ СА РЕАНИМАЦИЈОМ И ИНТЕНЗИВНОМ НЕГОМ</t>
  </si>
  <si>
    <t xml:space="preserve"> Специјалистички преглед контролни</t>
  </si>
  <si>
    <t>000005</t>
  </si>
  <si>
    <t>Специјалистички преглед први - доцента и примаријуса</t>
  </si>
  <si>
    <t>000006</t>
  </si>
  <si>
    <t>Специјалистички преглед контролни - доцента и примаријуса</t>
  </si>
  <si>
    <t>000008</t>
  </si>
  <si>
    <t>Конзилијарни преглед болесника - 5 учесника</t>
  </si>
  <si>
    <t xml:space="preserve">96037-00 </t>
  </si>
  <si>
    <t xml:space="preserve">Остале процене, консултације или евалуације </t>
  </si>
  <si>
    <t>СЛУЖБА ЗА ГИНЕКОЛОГИЈУ И АКУШЕРСТВО СА НЕОНАТОЛОГИЈОМ</t>
  </si>
  <si>
    <t>009009</t>
  </si>
  <si>
    <t>Конзилијарни преглед са писаним мишљењем</t>
  </si>
  <si>
    <t xml:space="preserve">Специјалистички преглед контролни   </t>
  </si>
  <si>
    <t>СЛУЖБА ЗА НЕУРОЛОГИЈУ</t>
  </si>
  <si>
    <t>СЛУЖБА ЗА ОТОРИНОЛАРИНГОЛОГИЈУ СА МАКСИОЛОФАЦИЈАЛНОМ ХИРУРГИЈОМ</t>
  </si>
  <si>
    <t>СЛУЖБА  ФИЗИКАЛНЕ МЕДИЦИНЕ И РЕХАБИЛИТАЦИЈЕ</t>
  </si>
  <si>
    <t>СЛУЖБА ФИЗИКАЛНЕ МЕДИЦИНЕ И РЕХАБИЛИТАЦИЈЕ</t>
  </si>
  <si>
    <t>600001</t>
  </si>
  <si>
    <t>Специјалистички преглед физијатра</t>
  </si>
  <si>
    <t>600002</t>
  </si>
  <si>
    <t>СЛУЖБА  ЗА ПНЕУМОФТИЗИОЛОГИЈУ</t>
  </si>
  <si>
    <t>СЛУЖБА  ЗА ИНТЕРНУ МЕДИЦИНУ</t>
  </si>
  <si>
    <t>СЛУЖБА ЗА ИНТЕРНУ МЕДИЦИНУ</t>
  </si>
  <si>
    <t>ХЕМАТОЛОШКИ ОДСЕК</t>
  </si>
  <si>
    <t>ЕНДОКРИНОЛОШКИ ОДСЕК</t>
  </si>
  <si>
    <t>ГАСТРОЕНТЕРОЛОШКИ ОДСЕК</t>
  </si>
  <si>
    <t>ПУЛМОЛОШКИ ОДСЕК</t>
  </si>
  <si>
    <t>РЕУМАТОЛОШКИ ОДСЕК</t>
  </si>
  <si>
    <t>Спеијалистички преглед први- доцента и примаријуса</t>
  </si>
  <si>
    <t>Специјалистички преглед контролни- доцента и примаријуса</t>
  </si>
  <si>
    <t>КАРДИОЛОШКИ ОДСЕК</t>
  </si>
  <si>
    <t>ОДСЕК ИНТЕРНЕ МЕДИЦИНЕ</t>
  </si>
  <si>
    <t>СЛУЖБА  ЗА ОФТАМОЛОГИЈУ</t>
  </si>
  <si>
    <t>42503-00</t>
  </si>
  <si>
    <t>Офталмолошки преглед</t>
  </si>
  <si>
    <t>81833-00</t>
  </si>
  <si>
    <t>Други офталмолошки прегледи/процене</t>
  </si>
  <si>
    <t>СЛУЖБА  ЗА ОРТОПЕДИЈАУ СА ТРУМАТОЛОГИЈОМ</t>
  </si>
  <si>
    <t>ОРТОПЕДИЈА СА ТРАУМАТОЛОГИЈОМ</t>
  </si>
  <si>
    <t>ОДСЕК ПЛАСТИЧНЕ ХИРУРГИЈЕ</t>
  </si>
  <si>
    <t>СЛУЖБА  ЗА ПЕДИЈАТРИЈА</t>
  </si>
  <si>
    <t xml:space="preserve">Специјалистички преглед први </t>
  </si>
  <si>
    <t>Специјалистички преглед први  доцента и примаријуса</t>
  </si>
  <si>
    <t>Специјалистички преглед контролни  доцента и примаријуса</t>
  </si>
  <si>
    <r>
      <t>Остале процене,</t>
    </r>
    <r>
      <rPr>
        <sz val="11"/>
        <rFont val="Times New Roman"/>
        <family val="1"/>
        <charset val="238"/>
      </rPr>
      <t xml:space="preserve"> консултације</t>
    </r>
    <r>
      <rPr>
        <sz val="10"/>
        <rFont val="Times New Roman"/>
        <family val="1"/>
        <charset val="238"/>
      </rPr>
      <t xml:space="preserve"> или евалуације </t>
    </r>
  </si>
  <si>
    <t>УКУПНО:</t>
  </si>
  <si>
    <t>СЛУЖБА  РАДИОЛОШКЕ ДИЈАГНОСТИКЕ</t>
  </si>
  <si>
    <t>СЛУЖБА РАДИОЛОШКЕ ДИЈАГНОСТИКЕ</t>
  </si>
  <si>
    <t>Укупно скрининг</t>
  </si>
  <si>
    <t>СЛУЖБА  ЗА УРОЛОГИЈУ</t>
  </si>
  <si>
    <t>96037-00</t>
  </si>
  <si>
    <t>СЛУЖБА  ЗА НЕФРОЛОФИЈУ СА ДИЈАЛИОЗОМ</t>
  </si>
  <si>
    <t>СЛУЖБА ЗА НЕФРОЛОГИЈУ И ДИЈАЛИЗУ</t>
  </si>
  <si>
    <t>СЛУЖБА ОПШТЕ ХИРУРГИЈЕ СА ДЕЧИЈОМ ХИРУРГИЈОМ</t>
  </si>
  <si>
    <t>ОПШТА ХИРУРГИЈА</t>
  </si>
  <si>
    <t>ДЕЧИЈА ХИРУРГИЈА</t>
  </si>
  <si>
    <t>55816-00</t>
  </si>
  <si>
    <t>Ултразвучни преглед кукића</t>
  </si>
  <si>
    <t>СЛУЖБА ОНКОЛОГИЈУ</t>
  </si>
  <si>
    <t xml:space="preserve">ОДЕЉЕЊЕ ЗА ОНКОЛОГИЈУ </t>
  </si>
  <si>
    <t>Остале процене,консултације или евалуације</t>
  </si>
  <si>
    <t>СЛУЖБА ЗА ПРОДУЖЕНО ЛЕЧЕЊЕ И ФИЗИКАЛНУ МЕДИЦИНУ   ОДСЕК ЗА ПАЛИЈАТОВНО ЗБРИЊАВАЊЕ</t>
  </si>
  <si>
    <t>СЛУЖБА ЗА ПРОДУЖЕНО ЛЕЧЕЊЕ И ФИЗИКАЛНУ МЕДИЦИНУ -  ОДСЕК ЗА ПАЛИЈАТИВНО ЗБРИЊАВАЊЕ.</t>
  </si>
  <si>
    <t>090061</t>
  </si>
  <si>
    <t>Специјалистички психијатријски преглед</t>
  </si>
  <si>
    <t>СЛУЖБА ЗА ТРАНСФУЗИЈУ КРВИ</t>
  </si>
  <si>
    <t>СЛУЖБА УРГЕНТНЕ МЕДИЦИНЕ</t>
  </si>
  <si>
    <t>СЛУЖБА ЗА ДЕРМАТОВЕНЕРОЛОГИЈУ</t>
  </si>
  <si>
    <t>Сл. за пнеумофтизиологију</t>
  </si>
  <si>
    <t>Сл. за психијатрију</t>
  </si>
  <si>
    <t>Сл. опште хирургије са дечјом хирургијом</t>
  </si>
  <si>
    <t>Сл. за ортопедију</t>
  </si>
  <si>
    <t>Сл. за урологију</t>
  </si>
  <si>
    <t>Сл. интензивне неге</t>
  </si>
  <si>
    <t>Сл. офталмологије</t>
  </si>
  <si>
    <t>Сл ургентно-пријемна</t>
  </si>
  <si>
    <t>гинекологија</t>
  </si>
  <si>
    <t>акушерство</t>
  </si>
  <si>
    <t>неонатологија</t>
  </si>
  <si>
    <t>106705</t>
  </si>
  <si>
    <t xml:space="preserve">1А. </t>
  </si>
  <si>
    <t>ПРЕГЛЕД НА КОМПЈУТЕРИЗОВАНОЈ ТОМОГРАФИЈИ (ЦТ)</t>
  </si>
  <si>
    <t xml:space="preserve">1Б. </t>
  </si>
  <si>
    <t>ПРЕГЛЕД НА  МАГНЕТНОЈ РЕЗОНАНЦИ (МР)</t>
  </si>
  <si>
    <t>ДИЈАГНОСТИЧКА КОРОНАРОГРАФИЈА И/ИЛИ КАТЕТЕРИЗАЦИЈА СРЦА</t>
  </si>
  <si>
    <t>РЕВАСКУЛАРИЗАЦИЈА МИОКАРДА</t>
  </si>
  <si>
    <t>Нехируршка реваскуларизација миокарда</t>
  </si>
  <si>
    <t>Хируршка реваскуларизација миокарда</t>
  </si>
  <si>
    <t>УГРАДЊА ПЕЈСМЕЈКЕРА И КАРДИОВЕРТЕР ДЕФИБРИЛАТОРА (ИЦД)</t>
  </si>
  <si>
    <t xml:space="preserve">УГРАДЊА ВЕШТАЧКИХ ВАЛВУЛА </t>
  </si>
  <si>
    <t>УГРАДЊА ГРАФТОВА ОД ВЕШТАЧКОГ МАТЕРИЈАЛА И ЕНДОВАСКУЛАРНИХ ГРАФТ ПРОТЕЗА</t>
  </si>
  <si>
    <t xml:space="preserve"> ОПЕРАЦИЈА СЕНИЛНЕ И ПРЕСЕНИЛНЕ КАТАРАКТЕ СА УГРАДЊОМ ИНТРАОКУЛАРНИХ СОЧИВА</t>
  </si>
  <si>
    <t>УГРАДЊА ИМПЛАНТАТА У ОРТОПЕДИЈИ (КУКОВИ И КОЛЕНА)</t>
  </si>
  <si>
    <t>38215-00</t>
  </si>
  <si>
    <t>Коронарана ангиографија (коронарографија)</t>
  </si>
  <si>
    <t>38306-01</t>
  </si>
  <si>
    <t>38306-02</t>
  </si>
  <si>
    <t>38306-00</t>
  </si>
  <si>
    <t>38300-00</t>
  </si>
  <si>
    <t>Офталмологија</t>
  </si>
  <si>
    <t>Гинекологија</t>
  </si>
  <si>
    <t>Напомена: Хирургија (Операциони блик) ОБ Чачак располаже са укупно 5 операционих сала од којих је 4 у функцији. Служба Урологије не располаже са својом спратном салом већ услуге пружа у оквиру сале Операционог блока хирургије; што чине и остале службе по потреби.</t>
  </si>
  <si>
    <t>56101-00</t>
  </si>
  <si>
    <t>56409-00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</si>
  <si>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</si>
  <si>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</si>
  <si>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</si>
  <si>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</t>
  </si>
  <si>
    <t>56507-00</t>
  </si>
  <si>
    <t>Компјутеризована томографија абдомена и карлице са интравенском применом контрастног средства</t>
  </si>
  <si>
    <t>Компјутеризована томографија меких ткива врата</t>
  </si>
  <si>
    <t>56221-00</t>
  </si>
  <si>
    <t>Компјутеризована томографија кичме, торакалме регије</t>
  </si>
  <si>
    <t>56301-00</t>
  </si>
  <si>
    <t>Компјутеризована томографија грудног коша</t>
  </si>
  <si>
    <t>56307-00</t>
  </si>
  <si>
    <t>Компјутеризована томографија грудног коша са интравенском применом контрасног средства</t>
  </si>
  <si>
    <t>56401-00</t>
  </si>
  <si>
    <t>Компјутеризована томографија абдомена</t>
  </si>
  <si>
    <t>57350-02</t>
  </si>
  <si>
    <t>Спирална ангиографија компјутеризованом томографијом грудног коша са интравенском применом контрасног средства</t>
  </si>
  <si>
    <t>56013-02</t>
  </si>
  <si>
    <t>Компјутеризована томографија орбите и мозга</t>
  </si>
  <si>
    <t>56016-01</t>
  </si>
  <si>
    <t>kompjuterizovana tomografija srednjeg uva I temporalne kosti sa intravenskom primenom kontrasnog sredstva jednostrano</t>
  </si>
  <si>
    <t>56220-00</t>
  </si>
  <si>
    <t>Компјутеризована томографија кичме,  вервикалне регије</t>
  </si>
  <si>
    <t>56223-00</t>
  </si>
  <si>
    <t>Компјутеризована томографија кичме,  лумбосакралне регије</t>
  </si>
  <si>
    <t>56301-01</t>
  </si>
  <si>
    <t>Компјутеризована томографија грудног коша и абдомена</t>
  </si>
  <si>
    <t>56501-00</t>
  </si>
  <si>
    <t>Компјутеризована томографија абдомена и карлице</t>
  </si>
  <si>
    <t>57001-00</t>
  </si>
  <si>
    <t>Компјутеризована томографија мозга и грудног коша</t>
  </si>
  <si>
    <t>56028-01</t>
  </si>
  <si>
    <t>Компјутеризована томографија параназалног синуса са интравенском применом контрасног средства</t>
  </si>
  <si>
    <t>56107-00</t>
  </si>
  <si>
    <t>Компјутеризована томографија меких ткива врата са интравенском применом контрасног средства</t>
  </si>
  <si>
    <t>Компјутеризована томографија карлице</t>
  </si>
  <si>
    <t>56807-00</t>
  </si>
  <si>
    <t>Компјутеризована томографија грудног коша, абдомена и пелвиса са интравенском применом контрасног средства</t>
  </si>
  <si>
    <t>42702-03</t>
  </si>
  <si>
    <t>Ексракапсуларна екстракција природног сочива техником једноставне апликације (иригације) са исерцијом савитљивог вештачког сочива</t>
  </si>
  <si>
    <t>42702-04</t>
  </si>
  <si>
    <t>Ексракапсуларна екстракција природног сочива факоемулзификацијом катаракте са инсерцијом са савитљивог вештачког сочива</t>
  </si>
  <si>
    <t>49318-00</t>
  </si>
  <si>
    <t>Потпуна артопластика зглоба кука, једнострана</t>
  </si>
  <si>
    <t>49518-00</t>
  </si>
  <si>
    <t>Потпуна артопластика колена, једнострана</t>
  </si>
  <si>
    <t>Перкутана инсерција два или више луминална стента у појединачну</t>
  </si>
  <si>
    <t>Перкутана инсерција два или више транслуминална стента у више</t>
  </si>
  <si>
    <t>Перкутана транслуминална ангиопластика балоном</t>
  </si>
  <si>
    <t>Перкутана инсерциаја транслуминалног стента у појед.кор.арт.</t>
  </si>
  <si>
    <t>30.06.2018</t>
  </si>
  <si>
    <t>Амбуланта</t>
  </si>
  <si>
    <t>Стационар</t>
  </si>
  <si>
    <t>Извршено у периоду I-VI 2018.</t>
  </si>
  <si>
    <t>Извршено у %</t>
  </si>
  <si>
    <t>Рендген дијагностика (у загради уписати број апарата и број смена) ( 6 апарата; 3 смене)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</si>
  <si>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</si>
  <si>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</si>
  <si>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</si>
  <si>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</si>
  <si>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</si>
  <si>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</si>
  <si>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</si>
  <si>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</si>
  <si>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</si>
  <si>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</si>
  <si>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57512-00</t>
  </si>
  <si>
    <t>Радиографско снимање лакта и хумеруса</t>
  </si>
  <si>
    <t>57512-01</t>
  </si>
  <si>
    <t>Радиографско снимање лакта и подлактице</t>
  </si>
  <si>
    <t>57512-02</t>
  </si>
  <si>
    <t>Радиографско снимање шаке, ручног зглоба и подлактице</t>
  </si>
  <si>
    <t>57512-03</t>
  </si>
  <si>
    <t>Радиографско снимање шаке и ручног зглоба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</si>
  <si>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</si>
  <si>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</si>
  <si>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</si>
  <si>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</si>
  <si>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</si>
  <si>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</si>
  <si>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</si>
  <si>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</si>
  <si>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</si>
  <si>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</si>
  <si>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57524-00</t>
  </si>
  <si>
    <t>Радиографско снимање фемура и колена</t>
  </si>
  <si>
    <t>57524-01</t>
  </si>
  <si>
    <t>Радиографско снимање колена и ноге</t>
  </si>
  <si>
    <t>57524-02</t>
  </si>
  <si>
    <t>Радиографско снимање ноге и глежња</t>
  </si>
  <si>
    <t>57524-03</t>
  </si>
  <si>
    <t>Радиографско снимање ноге, глежња и стопала</t>
  </si>
  <si>
    <t>57524-04</t>
  </si>
  <si>
    <t>Радиографско снимање глежња и стопала</t>
  </si>
  <si>
    <t>57700-00</t>
  </si>
  <si>
    <t>Радиографско снимање рамена или скапуле</t>
  </si>
  <si>
    <t>57706-00</t>
  </si>
  <si>
    <t>Радиографско снимање клавикуле</t>
  </si>
  <si>
    <t>57712-00</t>
  </si>
  <si>
    <t>Радиографско снимање зглоба кука</t>
  </si>
  <si>
    <t>57715-00</t>
  </si>
  <si>
    <t>Радиографско снимање пелвиса</t>
  </si>
  <si>
    <t>57721-00</t>
  </si>
  <si>
    <t>Радиографско снимање интерног фиксирања фрактуре фемура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</si>
  <si>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</si>
  <si>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</si>
  <si>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</si>
  <si>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</si>
  <si>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</si>
  <si>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</si>
  <si>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57909-00</t>
  </si>
  <si>
    <t>Радиографско снимање петроза темпоралне кости</t>
  </si>
  <si>
    <t>57912-00</t>
  </si>
  <si>
    <t>Радиографско снимање осталих фацијалних костију</t>
  </si>
  <si>
    <t>57915-00</t>
  </si>
  <si>
    <t>Радиографско снимање мандибуле</t>
  </si>
  <si>
    <t>57921-00</t>
  </si>
  <si>
    <t>Радиографско снимање носа</t>
  </si>
  <si>
    <t>57924-00</t>
  </si>
  <si>
    <t>Радиографско снимање ока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</si>
  <si>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</si>
  <si>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</si>
  <si>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</si>
  <si>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</si>
  <si>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</si>
  <si>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</si>
  <si>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</si>
  <si>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</si>
  <si>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58108-00</t>
  </si>
  <si>
    <t>Радиографско снимање кичме, четири подручја</t>
  </si>
  <si>
    <t>58109-00</t>
  </si>
  <si>
    <t>Радиографско снимање сакралнококцигеалног дела кичме</t>
  </si>
  <si>
    <t>58112-00</t>
  </si>
  <si>
    <t>Радиографско снимање кичме, два подручја</t>
  </si>
  <si>
    <t>58115-00</t>
  </si>
  <si>
    <t>Радиографско снимање кичме, три подручја</t>
  </si>
  <si>
    <t>58300-00</t>
  </si>
  <si>
    <t>Радиографско испитивање старости костију зглоба на руци и колена</t>
  </si>
  <si>
    <t>58306-00</t>
  </si>
  <si>
    <t>Радиографско снимање целог скелета</t>
  </si>
  <si>
    <t>58500-00</t>
  </si>
  <si>
    <t>Радиографско снимање грудног коша</t>
  </si>
  <si>
    <t>58509-00</t>
  </si>
  <si>
    <t>Радиографско снимање торакалног инлета или трахеје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</si>
  <si>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</si>
  <si>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</si>
  <si>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</si>
  <si>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</si>
  <si>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</si>
  <si>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</si>
  <si>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58524-01</t>
  </si>
  <si>
    <t>Радиографско снимање стернума и ребара, једнострано</t>
  </si>
  <si>
    <t>58700-00</t>
  </si>
  <si>
    <t>Радиографско снимање уринарног система</t>
  </si>
  <si>
    <t>58706-00</t>
  </si>
  <si>
    <t>Интравенска пиjелографија</t>
  </si>
  <si>
    <t>58715-00</t>
  </si>
  <si>
    <t>Антероградна пијелографија</t>
  </si>
  <si>
    <t>58715-01</t>
  </si>
  <si>
    <t>Ретроградна пиjелографија</t>
  </si>
  <si>
    <t>58718-00</t>
  </si>
  <si>
    <t>Ретроградна цистографија</t>
  </si>
  <si>
    <t>58718-01</t>
  </si>
  <si>
    <t>Ретроградна уретрографија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</si>
  <si>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</si>
  <si>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</si>
  <si>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</si>
  <si>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</si>
  <si>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58909-00</t>
  </si>
  <si>
    <t>Радиографско снимање фаринкса, езофагуса, желуца или дуоденума са применом позитивног контрастног средства</t>
  </si>
  <si>
    <t>58912-00</t>
  </si>
  <si>
    <t>Радиографско снимање феринкса, езофагуса, желуца или дуоденума са применом позитивног контрасног средства и пролазом до колона</t>
  </si>
  <si>
    <t>58912-01</t>
  </si>
  <si>
    <t>Радиографско снимање феринкса, езофагуса, желуца или дуоденума са применом позитивног контрасног средства и пролазом до колона са скринингом грудног коша</t>
  </si>
  <si>
    <t xml:space="preserve">58915-00 </t>
  </si>
  <si>
    <t>Радиографско снимање танког црева са применом позитивног контрастног средства</t>
  </si>
  <si>
    <t>58921-00</t>
  </si>
  <si>
    <t xml:space="preserve">Иригографија </t>
  </si>
  <si>
    <t>58927-00</t>
  </si>
  <si>
    <t>Директна холангиографија, постоперативна</t>
  </si>
  <si>
    <t>Радиографско снимање дојке, обострано</t>
  </si>
  <si>
    <t>59303-00</t>
  </si>
  <si>
    <t>Радиографско снимање дојке, једнострано</t>
  </si>
  <si>
    <t xml:space="preserve">59712-00 </t>
  </si>
  <si>
    <t>Хистеросалпингографија</t>
  </si>
  <si>
    <t>59739-03</t>
  </si>
  <si>
    <t>Остале синографије</t>
  </si>
  <si>
    <t>90909-00</t>
  </si>
  <si>
    <t>Радиографско снимање осталих области</t>
  </si>
  <si>
    <t>96197-03</t>
  </si>
  <si>
    <t>Интрамускуларно давање фармаколошког средства, стероид</t>
  </si>
  <si>
    <t>96199-09</t>
  </si>
  <si>
    <t>Интравенско давање фармаколошког средства, друго и некласификовано фармаколошко средство</t>
  </si>
  <si>
    <t>Ултразвучна дијагностика (у загради уписати број апарата и број смена) (3 апарата; 3 смене)</t>
  </si>
  <si>
    <t>55032-00</t>
  </si>
  <si>
    <t>Ултразвучни преглед врата</t>
  </si>
  <si>
    <t>55036-00</t>
  </si>
  <si>
    <t>Ултразвучни преглед абдомена</t>
  </si>
  <si>
    <t>55044-00</t>
  </si>
  <si>
    <t>Ултразвучни преглед мушког пелвиса</t>
  </si>
  <si>
    <t>55048-00</t>
  </si>
  <si>
    <t>Ултразвучни преглед скротума</t>
  </si>
  <si>
    <t>55070-00</t>
  </si>
  <si>
    <t>Ултразвучни преглед дојке, унилатералан</t>
  </si>
  <si>
    <t>55073-00</t>
  </si>
  <si>
    <t>Ултразвучни преглед женског пелвиса</t>
  </si>
  <si>
    <t>Ултразвучни преглед дојке, билатералан</t>
  </si>
  <si>
    <t>55084-00</t>
  </si>
  <si>
    <t>Ултразвучни преглед бешике</t>
  </si>
  <si>
    <t>55276-00</t>
  </si>
  <si>
    <t>Ултразвучни дуплекс преглед артерија или бајпаса доњих екстремитета, унилатерални</t>
  </si>
  <si>
    <t xml:space="preserve">55800-00 </t>
  </si>
  <si>
    <t>Ултразвучни преглед шаке или ручног зглоба</t>
  </si>
  <si>
    <t xml:space="preserve">55804-00 </t>
  </si>
  <si>
    <t>Ултразвучни преглед подлактице или лакта</t>
  </si>
  <si>
    <t xml:space="preserve">55808-00 </t>
  </si>
  <si>
    <t xml:space="preserve"> Ултразвучни преглед рамена или надлактице</t>
  </si>
  <si>
    <t>55812-001</t>
  </si>
  <si>
    <t>Ултразвучни преглед грудног коша</t>
  </si>
  <si>
    <t xml:space="preserve">55812-002 </t>
  </si>
  <si>
    <t>Ултразвучни преглед трбушног зида</t>
  </si>
  <si>
    <t xml:space="preserve">55816-01 </t>
  </si>
  <si>
    <t>Ултразвучни преглед препона</t>
  </si>
  <si>
    <t xml:space="preserve">55828-00 </t>
  </si>
  <si>
    <t>Ултразвучни преглед колена</t>
  </si>
  <si>
    <t xml:space="preserve">55832-00 </t>
  </si>
  <si>
    <t>Ултразвучни преглед потколенице</t>
  </si>
  <si>
    <t>90908-00</t>
  </si>
  <si>
    <t xml:space="preserve">Ултразвучни преглед осталих области </t>
  </si>
  <si>
    <t xml:space="preserve">90908-001 </t>
  </si>
  <si>
    <t>Ултразвучни преглед регионалних лимфних чворова</t>
  </si>
  <si>
    <t>Доплер* (у загради уписати број апарата и број смена) (1 апарат; 1 смена)</t>
  </si>
  <si>
    <t>55238-00</t>
  </si>
  <si>
    <t>55238-01</t>
  </si>
  <si>
    <t>Ултразвучни дуплекс преглед артерија или бајпаса доњих екстремитета, билатерални</t>
  </si>
  <si>
    <t>55244-00</t>
  </si>
  <si>
    <t>Ултразвучни дуплекс преглед вена доњих екстремитета, унилатерални</t>
  </si>
  <si>
    <t>55244-01</t>
  </si>
  <si>
    <t>Ултразвучни дуплекс преглед вена доњих екстремитета, билатерални</t>
  </si>
  <si>
    <t>55248-00</t>
  </si>
  <si>
    <t>Ултразвучни дуплекс преглед артерија или бајпаса горњих екстремитета, унилатерални</t>
  </si>
  <si>
    <t>55248-01</t>
  </si>
  <si>
    <t>Ултразвучни дуплекс преглед артерија или бајпаса горњих екстремитета, билатерални</t>
  </si>
  <si>
    <t>55252-00</t>
  </si>
  <si>
    <t>Ултразвучни дуплекс преглед вена горњих екстремитета, унилатерални</t>
  </si>
  <si>
    <t>55274-00</t>
  </si>
  <si>
    <t xml:space="preserve">Ултразвучни дуплекс преглед екстракранијалних, каротидних и вертебралних крвних судова (са или без контраста) </t>
  </si>
  <si>
    <t>ЦТ Скенер (у загради уписати број апарата и број смена) ( 2 апарата; 1 смена)</t>
  </si>
  <si>
    <t>Компјутеризована томографија мозга са интравенском применом контрастног средства</t>
  </si>
  <si>
    <t>56010-00</t>
  </si>
  <si>
    <t>Компјутеризована томографија питуитарне шупљине</t>
  </si>
  <si>
    <t>56010-01</t>
  </si>
  <si>
    <t>Компјутеризована томографија питуитарне шупљине са интравенском применом контрастног средства</t>
  </si>
  <si>
    <t>56010-02</t>
  </si>
  <si>
    <t>Компјутеризована томографија питуитарне шупљине и мозга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</si>
  <si>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</si>
  <si>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</si>
  <si>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56013-00</t>
  </si>
  <si>
    <t>Компјутеризована томографија орбите</t>
  </si>
  <si>
    <t>56013-01</t>
  </si>
  <si>
    <t>Компјутеризована томографија орбите са интравенском применом контрастног средства</t>
  </si>
  <si>
    <t>56013-03</t>
  </si>
  <si>
    <t>Компјутеризована томографија орбите и мозга са интравенском применом контрастног средства</t>
  </si>
  <si>
    <t>56016-00</t>
  </si>
  <si>
    <t>Компјутеризована томографија средњег ува и темпоралне кости, једнострана</t>
  </si>
  <si>
    <t>Компјутеризована томографија средњег ува и темпоралне кости са интравенском применом контрасног средства, једнострана</t>
  </si>
  <si>
    <t>56016-02</t>
  </si>
  <si>
    <t>Компјутеризована томографија средњег ува и темпоралне кости и мозга , једнострана</t>
  </si>
  <si>
    <t>56016-03</t>
  </si>
  <si>
    <t>Компјутеризована томографија средњег ува и темпоралне кости и мозга са интравенско применом контрасног средства, једнострана</t>
  </si>
  <si>
    <t>56016-04</t>
  </si>
  <si>
    <t>Компјутеризована томографија средњег ува и темпоралне кости, обострана</t>
  </si>
  <si>
    <t>56016-05</t>
  </si>
  <si>
    <t>Компјутеризована томографија средњег ува и темпоралне кости са интравенском применом контрастног средства, обострана</t>
  </si>
  <si>
    <t>56016-06</t>
  </si>
  <si>
    <t>Компјутеризована томографија средњег ува, темпоралне кости и мозга, обострана</t>
  </si>
  <si>
    <t>56016-07</t>
  </si>
  <si>
    <t>Компјутеризована томографија средњег ува, темпоралне кости и мозга са интравенском применом контрастног средства, обострана</t>
  </si>
  <si>
    <t xml:space="preserve">56022-00 </t>
  </si>
  <si>
    <t>Компјутеризована томографија фацијалних костију</t>
  </si>
  <si>
    <t>56022-01</t>
  </si>
  <si>
    <t>Компјутеризована томографија параназалног синуса</t>
  </si>
  <si>
    <t>56022-02</t>
  </si>
  <si>
    <t>Компјутеризована томографија фацијалних костију и  параназалног синуса</t>
  </si>
  <si>
    <t>56028-00</t>
  </si>
  <si>
    <t>Компјутеризована томографија фацијалних костију са интравенском применом контрастног средства</t>
  </si>
  <si>
    <t>Компјутеризована томографија параназалног синуса са интравенском применом контрастног средства</t>
  </si>
  <si>
    <t>56030-00</t>
  </si>
  <si>
    <t>Компјутеризована томографија фацијалних костију, параназалног синуса и мозга</t>
  </si>
  <si>
    <t>56036-00</t>
  </si>
  <si>
    <t>Компјутеризована томографија фацијалних костију, параназалног синуса и мозга са интравенском применом контрастног средства</t>
  </si>
  <si>
    <t>Компјутеризована томографија меких ткива врата са интравенском применом контрастног средства</t>
  </si>
  <si>
    <t>Компјутеризована томографија кичме, цервикалне регије</t>
  </si>
  <si>
    <t>Компјутеризована томографија кичме, торакалне регије</t>
  </si>
  <si>
    <t>Компјутеризована томографија кичме, лумбосакралне регије</t>
  </si>
  <si>
    <t>56225-00</t>
  </si>
  <si>
    <t>Компјутеризована томографија кичме са интравенском применом контрастног средства, торакалне регије</t>
  </si>
  <si>
    <t>56226-00</t>
  </si>
  <si>
    <t>Компјутеризована томографија кичме са интравенском применом контрастног средства, лумбосакралне регије</t>
  </si>
  <si>
    <t>56233-00</t>
  </si>
  <si>
    <t>Компјутеризована томографија кичме, вишеструких регија</t>
  </si>
  <si>
    <t>56234-00</t>
  </si>
  <si>
    <t>Компјутеризована томографија кичме са интравенском применом контрастног средства, вишеструких регија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</si>
  <si>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</si>
  <si>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</si>
  <si>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</si>
  <si>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56407-00</t>
  </si>
  <si>
    <t>Компјутеризована томографија абдомена са интравенском применом контрастног средства</t>
  </si>
  <si>
    <t>56412-00</t>
  </si>
  <si>
    <t>Компјутеризована томографија карлице са интравенском применом контрастног средства</t>
  </si>
  <si>
    <t xml:space="preserve">Компјутеризована томографија абдомена и карлице са интравенском применом контрастног средства </t>
  </si>
  <si>
    <t>56619-00</t>
  </si>
  <si>
    <t>Компјутеризована томографија екстремитета</t>
  </si>
  <si>
    <t>56625-00</t>
  </si>
  <si>
    <t>Компјутеризована томографија екстремитета са интравенском применом контрастног средства</t>
  </si>
  <si>
    <t>56801-00</t>
  </si>
  <si>
    <t>Компјутеризована томографија грудног коша, абдомена и пелвиса</t>
  </si>
  <si>
    <t>Компјутеризована томографија грудног коша, абдомена и пелвиса са интравенском применом контрастног средства</t>
  </si>
  <si>
    <t>57001-01</t>
  </si>
  <si>
    <t>Компјутеризована томографија мозга, грудног коша и абдомена</t>
  </si>
  <si>
    <t>57007-00</t>
  </si>
  <si>
    <t>Компјутеризована томографија мозга и грудног коша са интравенском применом контрастног средства</t>
  </si>
  <si>
    <t>57007-01</t>
  </si>
  <si>
    <t>Компјутеризована томографија мозга, грудног коша и абдомена са интравенском применом контрастног средства</t>
  </si>
  <si>
    <t>57350-00</t>
  </si>
  <si>
    <t>Спирална ангиографија компјутеризованом томографијом главе и/или врата, са интравенском применом контрастног средства</t>
  </si>
  <si>
    <t>57350-01</t>
  </si>
  <si>
    <t>Спирална ангиографија компјутеризованом томографијом горњих екстремитета, са интравенском применом контрастног средства</t>
  </si>
  <si>
    <t>Спирална ангиографија компјутеризованом томографијом grudnog koša, са интравенском применом контрастног средства</t>
  </si>
  <si>
    <t>57350-03</t>
  </si>
  <si>
    <t>Спирална ангиографија компјутеризованом томографијом абдомена, са интравенском применом контрастног средства</t>
  </si>
  <si>
    <t>57350-04</t>
  </si>
  <si>
    <t>Спирална ангиографија компјутеризованом томографијом абдоминалне и билатералне илиофеморалне аорте доњих екстремитета, са интравенском применом контрастног средства</t>
  </si>
  <si>
    <t>57350-07</t>
  </si>
  <si>
    <t>Спирална ангиографија компјутеризованом томографијом доњих екстремитета, са интравенском применом контрастног средства</t>
  </si>
  <si>
    <t>59712-00</t>
  </si>
  <si>
    <t>57350-08</t>
  </si>
  <si>
    <t>Спирална ангиографија компјутеризованом томографијом осталих области, са интравенском применом контрастног средства</t>
  </si>
  <si>
    <t>96196-09</t>
  </si>
  <si>
    <t>Инта-артеријско давање фармаколошког средства, друго и некласификовано средство</t>
  </si>
  <si>
    <t>96197-02</t>
  </si>
  <si>
    <t>Интрамускуларно давање фармаколошког средства, анти-инфективно средство</t>
  </si>
  <si>
    <t>96199-00</t>
  </si>
  <si>
    <t>Интравенско давање фармаколошког средства, анти-инфективно средство</t>
  </si>
  <si>
    <t>96199-03</t>
  </si>
  <si>
    <t>Интравенско давање фармаколошког средства, стероид</t>
  </si>
  <si>
    <t>'Услуге у оквиру организованог скрининга рака**</t>
  </si>
  <si>
    <t>Радиографско снимање дојки - обострано</t>
  </si>
  <si>
    <t>Радиографско снимањe дојки,једнострано</t>
  </si>
  <si>
    <t>58076-00</t>
  </si>
  <si>
    <t>Ултразвучни преглед дојке - билатерални</t>
  </si>
  <si>
    <t>Услуге у оквиру интервентне радиологије - Коронарографија</t>
  </si>
  <si>
    <t>34524-00</t>
  </si>
  <si>
    <t>Катетеризација/Канилација осталих артерија (Пункција феморалне артерије по Селдингеру)</t>
  </si>
  <si>
    <t>38200-00</t>
  </si>
  <si>
    <t>Катетеризација десне стране срца</t>
  </si>
  <si>
    <t>38203-00</t>
  </si>
  <si>
    <t>Катетеризација леве стране срца</t>
  </si>
  <si>
    <t>38206-00</t>
  </si>
  <si>
    <t>Катетеризација десне и леве стране срца</t>
  </si>
  <si>
    <t>Коронарна ангиографија (Коронарографија)</t>
  </si>
  <si>
    <t>38218-00</t>
  </si>
  <si>
    <t>Корнарна ангиографија са катетеризацијом леве стране срца (Коронарографија)</t>
  </si>
  <si>
    <t>38218-01</t>
  </si>
  <si>
    <t>Коронарна ангиографија са катетеризацијом десне стране срца (Коронарографија)</t>
  </si>
  <si>
    <t>38218-02</t>
  </si>
  <si>
    <t>Коронарна ангиографија са катетеризацијом леве и десне стране срца (Коронарографија)</t>
  </si>
  <si>
    <t>90222-00</t>
  </si>
  <si>
    <t>Остале процедуре на артеријама</t>
  </si>
  <si>
    <t>Перкутана транслуминална ангиопластика балоном једне коронарне артерије</t>
  </si>
  <si>
    <t>38303-00</t>
  </si>
  <si>
    <t>Перкутана транслуминална ангиопластика балоном две и више коронарне артерије</t>
  </si>
  <si>
    <t>Перкутана инсерција једног транслуминалнг стента у појединачну коронарну артерију</t>
  </si>
  <si>
    <t>Перкутана инсерција два или више транслуминална стента у појединачну коронарну артерију</t>
  </si>
  <si>
    <t>Перкутана инсерција два или више транслуминалнг стента у вишеструке коронарне артерије</t>
  </si>
  <si>
    <t>35360-00</t>
  </si>
  <si>
    <t>Перкутано уклањање интраваскуларног страног тела</t>
  </si>
  <si>
    <t>38359-00</t>
  </si>
  <si>
    <t>Перикардиоцентеза</t>
  </si>
  <si>
    <t>38256-01</t>
  </si>
  <si>
    <t>Имплантација привремене ендовенске електроде у комору</t>
  </si>
  <si>
    <t>Укупан број услуга:</t>
  </si>
  <si>
    <t>Напомена: Образложење - због не фактурисања услуге дневне болнице у 2017.години План рада за 2018. године за дневне болнице урађен је на нереалном нивоу.</t>
  </si>
  <si>
    <t>17878735</t>
  </si>
  <si>
    <t>Служба за анестезију са реанимацијом и интезивном негом</t>
  </si>
  <si>
    <t>ОСТАЛЕ УСЛУГЕ*</t>
  </si>
  <si>
    <t>009214</t>
  </si>
  <si>
    <t>Површинска локална анестезија</t>
  </si>
  <si>
    <t>009218</t>
  </si>
  <si>
    <t>Антишок терапија</t>
  </si>
  <si>
    <t xml:space="preserve">11503-07 </t>
  </si>
  <si>
    <t xml:space="preserve">Мерење плућне растегљивости </t>
  </si>
  <si>
    <t>11503-10</t>
  </si>
  <si>
    <t>Мерење размене гасова</t>
  </si>
  <si>
    <t xml:space="preserve">11503-13 </t>
  </si>
  <si>
    <t xml:space="preserve">Мерење дисајног или плућног отпора </t>
  </si>
  <si>
    <t xml:space="preserve">11600-02 </t>
  </si>
  <si>
    <t>Праћење централног венског притиска</t>
  </si>
  <si>
    <t xml:space="preserve">11600-03 </t>
  </si>
  <si>
    <t>Праћење системског артеријског притиска</t>
  </si>
  <si>
    <t xml:space="preserve">11700-00 </t>
  </si>
  <si>
    <t>Остале електрокардиографије (ЕКГ)</t>
  </si>
  <si>
    <t>130207</t>
  </si>
  <si>
    <t>Узимање материјала са коже и видљивих слузокожа за микролошки, бактериолошки и цитолошки преглед</t>
  </si>
  <si>
    <t xml:space="preserve">13400-00 </t>
  </si>
  <si>
    <t xml:space="preserve"> Кардиоверзија</t>
  </si>
  <si>
    <t xml:space="preserve">13706-01 </t>
  </si>
  <si>
    <t xml:space="preserve">Трансфузија пуне крви </t>
  </si>
  <si>
    <t xml:space="preserve">13706-02 </t>
  </si>
  <si>
    <t xml:space="preserve">Трансфузија еритроцита </t>
  </si>
  <si>
    <t xml:space="preserve">13706-03 </t>
  </si>
  <si>
    <t>Трансфузија тромбоцита</t>
  </si>
  <si>
    <t>13815-01</t>
  </si>
  <si>
    <t xml:space="preserve">Перкутана централна венска катетеризација </t>
  </si>
  <si>
    <t xml:space="preserve">13839-00 </t>
  </si>
  <si>
    <t>Вађење крви у дијагностичке сврхе</t>
  </si>
  <si>
    <t>13842-00</t>
  </si>
  <si>
    <t>Интраартеријска канилација за гасну анализу крви</t>
  </si>
  <si>
    <t>13882-00</t>
  </si>
  <si>
    <t xml:space="preserve">Поступак одржавања континуиране вентилаторне подршке, ≤ 24 сата </t>
  </si>
  <si>
    <t>13882-01</t>
  </si>
  <si>
    <t>Поступак одржавања континуиране вентилаторне подршке, &gt; 24 сати и &lt; 96 сати</t>
  </si>
  <si>
    <t>13882-02</t>
  </si>
  <si>
    <t>Поступак одржавања континуиране вентилаторне подршке, ≥ 96 сати</t>
  </si>
  <si>
    <t>14200-00</t>
  </si>
  <si>
    <t>Гастрична лаважа</t>
  </si>
  <si>
    <t>22007-00</t>
  </si>
  <si>
    <t xml:space="preserve">Ендотрахеална интубација, једнолуменски тубус </t>
  </si>
  <si>
    <t>22008-00</t>
  </si>
  <si>
    <t xml:space="preserve">Ендотрахеална интубација, дволуменски тубус </t>
  </si>
  <si>
    <t>250107</t>
  </si>
  <si>
    <t>Израда индивидуалних извештаја (извештаји о хоспитализацији, пријава порођаја, пријава побачаја, потврда о смрти, пријава заразне болести, пријава малигног обољења и друго)</t>
  </si>
  <si>
    <t>30010-00</t>
  </si>
  <si>
    <t>Превијање опекотине, мање од 10% посто површине тела је превијено</t>
  </si>
  <si>
    <t xml:space="preserve">30014-00 </t>
  </si>
  <si>
    <t>Превијање опекотине, 10% и више посто површине тела је превијено</t>
  </si>
  <si>
    <t>30055-00</t>
  </si>
  <si>
    <t>Превијање ране</t>
  </si>
  <si>
    <t>34530-01</t>
  </si>
  <si>
    <t>Уклањење артеријског катетера</t>
  </si>
  <si>
    <t>34530-04</t>
  </si>
  <si>
    <t>Уклањање венског катетера</t>
  </si>
  <si>
    <t>36800-00</t>
  </si>
  <si>
    <t>Катетеризација мокраћне бешике – кроз уретру</t>
  </si>
  <si>
    <t>39000-00</t>
  </si>
  <si>
    <t>Лумбална пункција</t>
  </si>
  <si>
    <t>600349</t>
  </si>
  <si>
    <t>Превенција декубитуса у рехабилитацији</t>
  </si>
  <si>
    <t>81849-01</t>
  </si>
  <si>
    <t>Оксиметрија</t>
  </si>
  <si>
    <t>90179-06</t>
  </si>
  <si>
    <t>Поступак одржавања трахеостоме</t>
  </si>
  <si>
    <t>90220-00</t>
  </si>
  <si>
    <t>Катетеризација/канилација осталих вена</t>
  </si>
  <si>
    <t>90224-00</t>
  </si>
  <si>
    <t>Корекција транспозиције великих крвних судова</t>
  </si>
  <si>
    <t>92035-00</t>
  </si>
  <si>
    <t>Друге интубације респираторног тракта</t>
  </si>
  <si>
    <t xml:space="preserve">92035-001 </t>
  </si>
  <si>
    <t>Отежана ендотрахеална интубација фибероптичким ларингоскопом</t>
  </si>
  <si>
    <t xml:space="preserve">92035-003 </t>
  </si>
  <si>
    <r>
      <t>Отежана едотрахеална интубација „</t>
    </r>
    <r>
      <rPr>
        <i/>
        <sz val="10"/>
        <color indexed="8"/>
        <rFont val="Times New Roman"/>
        <family val="1"/>
      </rPr>
      <t>fast trach“</t>
    </r>
    <r>
      <rPr>
        <sz val="10"/>
        <color indexed="8"/>
        <rFont val="Times New Roman"/>
        <family val="1"/>
      </rPr>
      <t xml:space="preserve"> ларингеалном маском</t>
    </r>
  </si>
  <si>
    <t xml:space="preserve">92036-00 </t>
  </si>
  <si>
    <t xml:space="preserve"> Пласирање назогастричне сонде</t>
  </si>
  <si>
    <t xml:space="preserve">92037-00 </t>
  </si>
  <si>
    <t>Испирање назогастричне сонде</t>
  </si>
  <si>
    <t xml:space="preserve">92043-00 </t>
  </si>
  <si>
    <t>Примена лека за респираторни систем помоћу небулизатора</t>
  </si>
  <si>
    <t xml:space="preserve">92044-00 </t>
  </si>
  <si>
    <t xml:space="preserve">Остале терапије обогаћивања кисеоника/ом </t>
  </si>
  <si>
    <t>92046-00</t>
  </si>
  <si>
    <t>Замена каниле за трахеостому</t>
  </si>
  <si>
    <t xml:space="preserve">92052-00 </t>
  </si>
  <si>
    <t xml:space="preserve"> Кардиопулмонална реанимација</t>
  </si>
  <si>
    <t xml:space="preserve">92053-00 </t>
  </si>
  <si>
    <t xml:space="preserve">Затворена масажа срца </t>
  </si>
  <si>
    <t>92058-01</t>
  </si>
  <si>
    <t>Одржавање катетера, пласираног ради администрације лека</t>
  </si>
  <si>
    <t xml:space="preserve">92060-00 </t>
  </si>
  <si>
    <t xml:space="preserve"> Трансфузија аутологне крви </t>
  </si>
  <si>
    <t xml:space="preserve">92061-00 </t>
  </si>
  <si>
    <t xml:space="preserve"> Трансфузија фактора коагулације</t>
  </si>
  <si>
    <t xml:space="preserve">92062-00 </t>
  </si>
  <si>
    <t>Трансфузија крвних компоненти и деривата</t>
  </si>
  <si>
    <t xml:space="preserve">92063-00 </t>
  </si>
  <si>
    <t xml:space="preserve">Трансфузија плазма експандера </t>
  </si>
  <si>
    <t>92064-00</t>
  </si>
  <si>
    <t>Трансфузија осталих крвних деривата</t>
  </si>
  <si>
    <t xml:space="preserve">92076-00 </t>
  </si>
  <si>
    <t xml:space="preserve">Уклањање импактираног фецеса </t>
  </si>
  <si>
    <t>92078-00</t>
  </si>
  <si>
    <t>Замена назокастричне стоме или цеви езофагостоме</t>
  </si>
  <si>
    <t>92148-00</t>
  </si>
  <si>
    <t>Давање токсоида тетануса</t>
  </si>
  <si>
    <t xml:space="preserve">92162-00 </t>
  </si>
  <si>
    <t>Примена тетанусног антитоксина</t>
  </si>
  <si>
    <t>Утврђивање мождане смрти</t>
  </si>
  <si>
    <t>92204-001</t>
  </si>
  <si>
    <t xml:space="preserve">Неинвазивни дијагностички тестови, мерења или истраживања некласификовано на другом месту </t>
  </si>
  <si>
    <t>92500-01</t>
  </si>
  <si>
    <t>Продужена преоперативна анестезиолошка процена</t>
  </si>
  <si>
    <t xml:space="preserve">92500-02 </t>
  </si>
  <si>
    <t>Хитна преоперативна анестезиолошка процена</t>
  </si>
  <si>
    <t xml:space="preserve">92506-10 </t>
  </si>
  <si>
    <t>Неуроаксијална блокада током трудова, АСА 10</t>
  </si>
  <si>
    <t>92506-20</t>
  </si>
  <si>
    <t>Неуроаксијална блокада током трудова, АСА 20</t>
  </si>
  <si>
    <t xml:space="preserve">92507-10 </t>
  </si>
  <si>
    <t>Неуроаксијална блокада током трудова и порођаја, АСА 10</t>
  </si>
  <si>
    <t>92507-19</t>
  </si>
  <si>
    <t>Неуроаксијална блокада током трудова и порођаја, АСА 19</t>
  </si>
  <si>
    <t>92507-20</t>
  </si>
  <si>
    <t>Неуроаксијална блокада током трудова и порођаја, АСА 20</t>
  </si>
  <si>
    <t>92507-29</t>
  </si>
  <si>
    <t>Неуроаксијална блокада током трудова и порођаја, АСА 29</t>
  </si>
  <si>
    <t>92507-90</t>
  </si>
  <si>
    <t>Неуроаксијална блокада током трудова и порођаја, АСА 90</t>
  </si>
  <si>
    <t xml:space="preserve">92508-10 </t>
  </si>
  <si>
    <t xml:space="preserve">Неураксијална блокада, AСA 10 </t>
  </si>
  <si>
    <t>92508-19</t>
  </si>
  <si>
    <t>Неураксијална блокада, AСA 19</t>
  </si>
  <si>
    <t>92508-20</t>
  </si>
  <si>
    <t>Неураксијална блокада, AСA 20</t>
  </si>
  <si>
    <t>92508-29</t>
  </si>
  <si>
    <t>Неураксијална блокада, AСA 29</t>
  </si>
  <si>
    <t>92508-30</t>
  </si>
  <si>
    <t>Неураксијална блокада, AСA 30</t>
  </si>
  <si>
    <t>92508-39</t>
  </si>
  <si>
    <t>Неураксијална блокада, AСA 39</t>
  </si>
  <si>
    <t>92508-40</t>
  </si>
  <si>
    <t>Неураксијална блокада, AСA 40</t>
  </si>
  <si>
    <t>92508-49</t>
  </si>
  <si>
    <t>Неураксијална блокада, AСA 49</t>
  </si>
  <si>
    <t>92508-50</t>
  </si>
  <si>
    <t>Неураксијална блокада, AСA 50</t>
  </si>
  <si>
    <t>92510-20</t>
  </si>
  <si>
    <t>Регионална блокада, нерва стабла, АСА 20</t>
  </si>
  <si>
    <t>92510-39</t>
  </si>
  <si>
    <t>Регионална блокада, нерва стабла, АСА 39</t>
  </si>
  <si>
    <t>92511-19</t>
  </si>
  <si>
    <t>Регионална блокада, нерва горњег екстремитета, АСА 19</t>
  </si>
  <si>
    <t>92511-20</t>
  </si>
  <si>
    <t>Регионална блокада, нерва горњег екстремитета, АСА 20</t>
  </si>
  <si>
    <t>92511-29</t>
  </si>
  <si>
    <t>Регионална блокада, нерва горњег екстремитета, AСA 29</t>
  </si>
  <si>
    <t>92511-30</t>
  </si>
  <si>
    <t>Регионална блокада, нерва горњег екстремитета, АСА 30</t>
  </si>
  <si>
    <t>92511-39</t>
  </si>
  <si>
    <t>Регионална блокада, нерва горњег екстремитета, AСA 39</t>
  </si>
  <si>
    <t>92512-10</t>
  </si>
  <si>
    <t>Регионална блокада, нерва доњег екстремитета, АСА 10</t>
  </si>
  <si>
    <t>92512-19</t>
  </si>
  <si>
    <t>Регионална блокада, нерва доњег екстремитета, AСA 19</t>
  </si>
  <si>
    <t>92512-20</t>
  </si>
  <si>
    <t>Регионална блокада, нерва доњег екстремитета, АСА20</t>
  </si>
  <si>
    <t>92512-29</t>
  </si>
  <si>
    <t>Регионална блокада, нерва доњег екстремитета, АСА29</t>
  </si>
  <si>
    <t>92512-39</t>
  </si>
  <si>
    <t>Регионална блокада, нерва доњег екстремитета, АСА39</t>
  </si>
  <si>
    <t>92512-49</t>
  </si>
  <si>
    <t>Регионална блокада, нерва доњег екстремитета, АСА 49</t>
  </si>
  <si>
    <t>92513-10</t>
  </si>
  <si>
    <t xml:space="preserve">Инфилтрација локалног анестетика, AСA 10 </t>
  </si>
  <si>
    <t>92513-19</t>
  </si>
  <si>
    <t xml:space="preserve">Инфилтрација локалног анестетика, AСA 19 </t>
  </si>
  <si>
    <t>92513-20</t>
  </si>
  <si>
    <t>Инфилтрација локалног анестетика, AСA 20</t>
  </si>
  <si>
    <t>92513-29</t>
  </si>
  <si>
    <t>Инфилтрација локалног анестетика, AСA 29</t>
  </si>
  <si>
    <t>92513-30</t>
  </si>
  <si>
    <t>Инфилтрација локалног анестетика, AСA 30</t>
  </si>
  <si>
    <t>92513-39</t>
  </si>
  <si>
    <t>92513-40</t>
  </si>
  <si>
    <t xml:space="preserve">Инфилтрација локалног анестетика, AСA 40 </t>
  </si>
  <si>
    <t>92513-49</t>
  </si>
  <si>
    <t xml:space="preserve">Инфилтрација локалног анестетика, AСA 49 </t>
  </si>
  <si>
    <t>92514-10</t>
  </si>
  <si>
    <t>Општа анестезија, AСA 10</t>
  </si>
  <si>
    <t>92514-19</t>
  </si>
  <si>
    <t>Општа анестезија, AСA 19</t>
  </si>
  <si>
    <t>92514-20</t>
  </si>
  <si>
    <t>Општа анестезија, AСA 20</t>
  </si>
  <si>
    <t>92514-29</t>
  </si>
  <si>
    <t>Општа анестезија, AСA 29</t>
  </si>
  <si>
    <t>92514-30</t>
  </si>
  <si>
    <t>Општа анестезија, AСA 30</t>
  </si>
  <si>
    <t>92514-39</t>
  </si>
  <si>
    <t>Општа анестезија, AСA 39</t>
  </si>
  <si>
    <t>92514-40</t>
  </si>
  <si>
    <t>Општа анестезија, AСA 40</t>
  </si>
  <si>
    <t>92514-49</t>
  </si>
  <si>
    <t>Општа анестезија, AСA 49</t>
  </si>
  <si>
    <t>92514-50</t>
  </si>
  <si>
    <t>Општа анестезија, AСA 50</t>
  </si>
  <si>
    <t>92514-59</t>
  </si>
  <si>
    <t>Општа анестезија, АСА 59</t>
  </si>
  <si>
    <t>92514-90</t>
  </si>
  <si>
    <t>Општа анестезија, АСА 90</t>
  </si>
  <si>
    <t>92515-10</t>
  </si>
  <si>
    <t>Седација, AСA 10</t>
  </si>
  <si>
    <t>92515-19</t>
  </si>
  <si>
    <t>Седација, AСA 19</t>
  </si>
  <si>
    <t>92515-20</t>
  </si>
  <si>
    <t>Седација, AСA 20</t>
  </si>
  <si>
    <t>92515-29</t>
  </si>
  <si>
    <t>Седација, AСA 29</t>
  </si>
  <si>
    <t>92515-30</t>
  </si>
  <si>
    <t>Седација, AСA 30</t>
  </si>
  <si>
    <t>92515-39</t>
  </si>
  <si>
    <t>Седација, AСA 39</t>
  </si>
  <si>
    <t>92515-40</t>
  </si>
  <si>
    <t>Седација, AСA 40</t>
  </si>
  <si>
    <t>92515-49</t>
  </si>
  <si>
    <t>Седација, AСA 49</t>
  </si>
  <si>
    <t>92515-50</t>
  </si>
  <si>
    <t>Седација, AСA 50</t>
  </si>
  <si>
    <t>92515-90</t>
  </si>
  <si>
    <t>Седација, AСA 90</t>
  </si>
  <si>
    <t>92516-00</t>
  </si>
  <si>
    <t>Менаџмент неураксијалне блокаде</t>
  </si>
  <si>
    <t>92518-01</t>
  </si>
  <si>
    <t>Интравенска пост-процедурална инфузија аналгетика</t>
  </si>
  <si>
    <t xml:space="preserve">96098-00 </t>
  </si>
  <si>
    <t>Парентерална нутритивна подршка</t>
  </si>
  <si>
    <t xml:space="preserve">96138-00 </t>
  </si>
  <si>
    <t xml:space="preserve">Вежбе дисања у лечењу болести респираторног система </t>
  </si>
  <si>
    <t>96157-00</t>
  </si>
  <si>
    <t xml:space="preserve">Дренажа респираторног система, без инцизије </t>
  </si>
  <si>
    <t>96171-00</t>
  </si>
  <si>
    <t>Пратња или транспорт клијнта</t>
  </si>
  <si>
    <t>96189-00</t>
  </si>
  <si>
    <t>Оментектомија</t>
  </si>
  <si>
    <t>Интрамускуларно давање фармаколошког средства, антиинфективно средства</t>
  </si>
  <si>
    <t>96197-09</t>
  </si>
  <si>
    <t>Интрамускуларно давање фармаколошког средства, друго и неназначено фармаколошко средство</t>
  </si>
  <si>
    <t>96199-01</t>
  </si>
  <si>
    <t>Интравенско давање фармаколошког срдства, тромболитичко срдство</t>
  </si>
  <si>
    <t>96199-02</t>
  </si>
  <si>
    <t>96199-04</t>
  </si>
  <si>
    <t>Интравенско давање фармаколошког средства, антидот</t>
  </si>
  <si>
    <t>96199-06</t>
  </si>
  <si>
    <t>Интравенско давање фармаколошког средства, инсулин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</si>
  <si>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</si>
  <si>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</si>
  <si>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</si>
  <si>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</si>
  <si>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96200-01</t>
  </si>
  <si>
    <t>Субкутано давање тромболитичког  средства, антинфектино</t>
  </si>
  <si>
    <t>96200-02</t>
  </si>
  <si>
    <t>Субкутано давање фармаколошког средства, антинфектино</t>
  </si>
  <si>
    <t>96200-06</t>
  </si>
  <si>
    <t>Субкутано давање фармаколошког средства, инсулин</t>
  </si>
  <si>
    <t>96200-09</t>
  </si>
  <si>
    <t>Субкутано давање фармаколошког средства, друго и некласификовано фармаколошко средство</t>
  </si>
  <si>
    <t>96203-01</t>
  </si>
  <si>
    <t>Орално давање  тромболитичког средства, антиинфектив.средст</t>
  </si>
  <si>
    <t>96203-02</t>
  </si>
  <si>
    <t>Орално давање фармаколошког средства, антиинфектив.средст</t>
  </si>
  <si>
    <t>96203-09</t>
  </si>
  <si>
    <t>Орално давање фармаколошког средства, друго и некласификовано фармаколошко средство</t>
  </si>
  <si>
    <t>96205-02</t>
  </si>
  <si>
    <t>Неки други начин давања фармаколошког средства, антиинфективно средство</t>
  </si>
  <si>
    <t>96205-09</t>
  </si>
  <si>
    <t>Неки други начин давања фармаколошког средства, друго и некласификовано фармаколошко средство</t>
  </si>
  <si>
    <t>96209-06</t>
  </si>
  <si>
    <t>Пуњење уређаја за давање лека, инсулин</t>
  </si>
  <si>
    <t>96209-07</t>
  </si>
  <si>
    <t>Пуњење уређаја за давање лека, хранљива супстанца</t>
  </si>
  <si>
    <t>96209-08</t>
  </si>
  <si>
    <t>Пуњење уређаја за давање лека, електролит</t>
  </si>
  <si>
    <t>96209-09</t>
  </si>
  <si>
    <t>Пуњење уређаја за давање лека, друго и некласификовано фармаколошко средство</t>
  </si>
  <si>
    <t>Саветовање или информисање пац.о примени прописаног лека</t>
  </si>
  <si>
    <t>Саветовање или информисање мед.особља о начину примене лека</t>
  </si>
  <si>
    <t>Саветовање и информисање мед.особља о леку (начин деловања, индикације, упозорења, контра индикације, режим давања)</t>
  </si>
  <si>
    <t>Прилагођавање дозе на основу лабораториских параметара (биохемијски параметри ц - ниво лека у крви)</t>
  </si>
  <si>
    <t>Провера могућих интеракција међу примењеним лековима</t>
  </si>
  <si>
    <t>праћење потенцијалне нежељењне реакције пацијената на лек</t>
  </si>
  <si>
    <t>Пријављивање нежељене реакције пацијената на лек</t>
  </si>
  <si>
    <t>Пријављивање нежељене реакције пацијената на медицинско средствао</t>
  </si>
  <si>
    <t>L020404</t>
  </si>
  <si>
    <t>Узимање материјала за микробиолошки преглед</t>
  </si>
  <si>
    <t>L020412</t>
  </si>
  <si>
    <t>Узимање материјала за микробиолошки преглед у трансспортну подлогу</t>
  </si>
  <si>
    <t xml:space="preserve">СВЕ УСЛУГЕ УКУПНО </t>
  </si>
  <si>
    <t>Извршено у 2017.</t>
  </si>
  <si>
    <t>ОПЕРАЦИЈЕ</t>
  </si>
  <si>
    <t>Одсек гинекологије</t>
  </si>
  <si>
    <t xml:space="preserve">16511-00 </t>
  </si>
  <si>
    <t>Примена серклажа на грлић материце</t>
  </si>
  <si>
    <t>16564-00</t>
  </si>
  <si>
    <t>Постпартална евакуација садржаја материце киретажом и дилатацијом цервикалног канала</t>
  </si>
  <si>
    <t>30373-00</t>
  </si>
  <si>
    <t>Експлоративна лапаротомија</t>
  </si>
  <si>
    <t>30378-00</t>
  </si>
  <si>
    <t>Одвајање абдоминалних прираслица</t>
  </si>
  <si>
    <t xml:space="preserve">30385-00 </t>
  </si>
  <si>
    <t xml:space="preserve">Постоперативно поновно отварање места лапаротомије </t>
  </si>
  <si>
    <t>30390-00</t>
  </si>
  <si>
    <t>Лапараскопија</t>
  </si>
  <si>
    <t>30393-00</t>
  </si>
  <si>
    <t>Лапараскопско одвајање абдоминалних прираслица</t>
  </si>
  <si>
    <t>30394-00</t>
  </si>
  <si>
    <t>Дренажа интра абдоминалног апсцеса, хематома или цисте</t>
  </si>
  <si>
    <t>30394-01</t>
  </si>
  <si>
    <t>Лапараскопска дренажа интра абдоминалног апсцеса, хематома или цисте</t>
  </si>
  <si>
    <t>30396-00</t>
  </si>
  <si>
    <t>Дебридман и лаважа перитонеалне шупљине</t>
  </si>
  <si>
    <t>35557-00</t>
  </si>
  <si>
    <t>Ексцизија лезије вагине</t>
  </si>
  <si>
    <t>35570-00</t>
  </si>
  <si>
    <t>Репарација предњег дела вагине, вагинални приступ</t>
  </si>
  <si>
    <t>35571-00</t>
  </si>
  <si>
    <t>Репарација задњег дела вагине, вагинални приступ</t>
  </si>
  <si>
    <t>35577-00</t>
  </si>
  <si>
    <t>Репарација пролапсе дна карлице</t>
  </si>
  <si>
    <t>35608-00</t>
  </si>
  <si>
    <t>Каутеризација промена на глићу материце</t>
  </si>
  <si>
    <t xml:space="preserve">35618-00 </t>
  </si>
  <si>
    <t>Конизација грлића материце</t>
  </si>
  <si>
    <t>35638-11</t>
  </si>
  <si>
    <t>Лапараскопска салпингооварујектомија, једнострана</t>
  </si>
  <si>
    <t xml:space="preserve">35647-00 </t>
  </si>
  <si>
    <r>
      <t>Ексцизија промењених зона грлића омчицом (</t>
    </r>
    <r>
      <rPr>
        <i/>
        <sz val="10"/>
        <rFont val="Times New Roman"/>
        <family val="1"/>
      </rPr>
      <t>LLETZ</t>
    </r>
    <r>
      <rPr>
        <sz val="10"/>
        <rFont val="Times New Roman"/>
        <family val="1"/>
      </rPr>
      <t xml:space="preserve">) и </t>
    </r>
    <r>
      <rPr>
        <i/>
        <sz val="10"/>
        <rFont val="Times New Roman"/>
        <family val="1"/>
      </rPr>
      <t>LOOP</t>
    </r>
    <r>
      <rPr>
        <sz val="10"/>
        <rFont val="Times New Roman"/>
        <family val="1"/>
      </rPr>
      <t xml:space="preserve"> ексцизија </t>
    </r>
    <r>
      <rPr>
        <i/>
        <sz val="10"/>
        <rFont val="Times New Roman"/>
        <family val="1"/>
      </rPr>
      <t>LLETZ</t>
    </r>
    <r>
      <rPr>
        <sz val="10"/>
        <rFont val="Times New Roman"/>
        <family val="1"/>
      </rPr>
      <t xml:space="preserve"> ексцизиона конусна биопсија</t>
    </r>
  </si>
  <si>
    <t xml:space="preserve">35649-03 </t>
  </si>
  <si>
    <t>Миомектомија лапаротомијом</t>
  </si>
  <si>
    <t>35653-01</t>
  </si>
  <si>
    <t>Тотална класична абдоминална хистеректомија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</si>
  <si>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</si>
  <si>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</si>
  <si>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</si>
  <si>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</si>
  <si>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35664-00</t>
  </si>
  <si>
    <t>Радикална хистеректомија са лимфонодектомијом нодуса мале карлице</t>
  </si>
  <si>
    <t>35673-02</t>
  </si>
  <si>
    <t>Вагинална хистеректомија са уклањањем аднекса</t>
  </si>
  <si>
    <t>35677-04</t>
  </si>
  <si>
    <t>Салпинготомија са уклањањем трудноће у јајоводу (лапаротомија)</t>
  </si>
  <si>
    <t xml:space="preserve">35677-05 </t>
  </si>
  <si>
    <t>Салпингектомија са уклањањем трудноће у јајоводу</t>
  </si>
  <si>
    <t>35678-01</t>
  </si>
  <si>
    <t>Лапараскопска салпингектомија са уклањањем трудноће у јајоводу</t>
  </si>
  <si>
    <t>35694-02</t>
  </si>
  <si>
    <t>Лапароскопска салпинголиза *</t>
  </si>
  <si>
    <t>35713-02</t>
  </si>
  <si>
    <t>Инцизија цисте или апсцеса јајника</t>
  </si>
  <si>
    <t xml:space="preserve">35713-04 </t>
  </si>
  <si>
    <t>Оваријална цистектомија, једнострана</t>
  </si>
  <si>
    <t xml:space="preserve">35713-05 </t>
  </si>
  <si>
    <t>Клинаста ресекција јајника (лапаротомија)</t>
  </si>
  <si>
    <t>35713-06</t>
  </si>
  <si>
    <t>Парцијална овариектомија (лапаротомија)</t>
  </si>
  <si>
    <t xml:space="preserve">35713-07 </t>
  </si>
  <si>
    <t>Овариектомија, једнострана</t>
  </si>
  <si>
    <t xml:space="preserve">35713-09 </t>
  </si>
  <si>
    <t>Салпинготомија  једнострана</t>
  </si>
  <si>
    <t>35713-11</t>
  </si>
  <si>
    <t>Салпингоовриектомија,једнострана</t>
  </si>
  <si>
    <t>35717-00</t>
  </si>
  <si>
    <t>Оваријална цистектомија, обострана</t>
  </si>
  <si>
    <t>35717-03</t>
  </si>
  <si>
    <t>Салпингектомија, обострана</t>
  </si>
  <si>
    <t>35717-04</t>
  </si>
  <si>
    <t>Салпингоовриектомија, обострана</t>
  </si>
  <si>
    <t xml:space="preserve">35688-02 </t>
  </si>
  <si>
    <t>Стерилизација отвореним абдоминалним приступом</t>
  </si>
  <si>
    <t>35753-02</t>
  </si>
  <si>
    <t>Лапараскопски асистирана вагинална хистеректомија са аднесектомијом</t>
  </si>
  <si>
    <t>90431-00</t>
  </si>
  <si>
    <t>Остале процедуре на јајницима</t>
  </si>
  <si>
    <t>90440-00</t>
  </si>
  <si>
    <t xml:space="preserve">Ексцизија лезија вулве </t>
  </si>
  <si>
    <t xml:space="preserve">35717-01 </t>
  </si>
  <si>
    <t>Овариектомија, обострана</t>
  </si>
  <si>
    <t>35630-00</t>
  </si>
  <si>
    <t xml:space="preserve">Дијагностичка хистероскопија </t>
  </si>
  <si>
    <t>35633-00</t>
  </si>
  <si>
    <t>Раздвајање интраутералних прираслица</t>
  </si>
  <si>
    <t>35634-00</t>
  </si>
  <si>
    <t>Ресекција септума утеруса хистероскопијом</t>
  </si>
  <si>
    <t>35623-00</t>
  </si>
  <si>
    <t>Миомектомија хистероскопијом</t>
  </si>
  <si>
    <t>35633-01</t>
  </si>
  <si>
    <t>Полипектомија материце хистерескопијом</t>
  </si>
  <si>
    <t>35622-00</t>
  </si>
  <si>
    <t>Ендоскопска аблација ендометријума</t>
  </si>
  <si>
    <t>90448-00</t>
  </si>
  <si>
    <t>Субтотална лапараскопска хистеректомија</t>
  </si>
  <si>
    <t>90448-02</t>
  </si>
  <si>
    <t>Тотална лапараскопска абдоминална хистеректомија са аднексктомијом</t>
  </si>
  <si>
    <t xml:space="preserve">Одсек за акушерство </t>
  </si>
  <si>
    <t xml:space="preserve">16520-00 </t>
  </si>
  <si>
    <t>Елективни класични царски рез</t>
  </si>
  <si>
    <t xml:space="preserve">16520-01 </t>
  </si>
  <si>
    <t>Хитан класични царски рез</t>
  </si>
  <si>
    <t>16520-02</t>
  </si>
  <si>
    <t>Елективни  царски рез са резом на доњем сегменту материце</t>
  </si>
  <si>
    <t>16520-03</t>
  </si>
  <si>
    <t>Хитан елективни  царски рез са резом на доњем сегменту материце</t>
  </si>
  <si>
    <t>ОПЕРАЦИЈЕ - УКУПНО</t>
  </si>
  <si>
    <t xml:space="preserve">ОСТАЛЕ УСЛУГЕ </t>
  </si>
  <si>
    <t>Одсек за гинекологију</t>
  </si>
  <si>
    <t>11600-03</t>
  </si>
  <si>
    <t>13203-00</t>
  </si>
  <si>
    <t>Фоликулометрија са верификацијом овулације</t>
  </si>
  <si>
    <t>13839-00</t>
  </si>
  <si>
    <t>Поступак одржавања континуиране вентилаторне подршке, ? 24 сата</t>
  </si>
  <si>
    <t>16512-00</t>
  </si>
  <si>
    <t>Скидање конца серклажа</t>
  </si>
  <si>
    <t>16514-00</t>
  </si>
  <si>
    <t>Интерни ЦТГ мониторинг плода</t>
  </si>
  <si>
    <t xml:space="preserve">16514-01 </t>
  </si>
  <si>
    <t>Екстерни ЦТГ мониторинг фетуса</t>
  </si>
  <si>
    <t xml:space="preserve">16564-00 </t>
  </si>
  <si>
    <t xml:space="preserve">16571-00 </t>
  </si>
  <si>
    <t>Сутура руптуре грлића материце након порођаја</t>
  </si>
  <si>
    <t xml:space="preserve">16573-00 </t>
  </si>
  <si>
    <t>Сутура расцепа перинеума трећег или четвртог степена</t>
  </si>
  <si>
    <t>22065-00</t>
  </si>
  <si>
    <t>Терапија  хладноћом</t>
  </si>
  <si>
    <t>Дезинфекција просторија гасом по објекту</t>
  </si>
  <si>
    <t>260092</t>
  </si>
  <si>
    <t>Дезинфекција просторија замагљивањем: по објекту</t>
  </si>
  <si>
    <t>260095</t>
  </si>
  <si>
    <t>Дезинфекција санитарног чвора: по кабини</t>
  </si>
  <si>
    <t>260101</t>
  </si>
  <si>
    <t>Дезинфекција  робе и постељине</t>
  </si>
  <si>
    <t xml:space="preserve">Превијање ране </t>
  </si>
  <si>
    <t>30223-01</t>
  </si>
  <si>
    <t>Инцизија и дренажа апсцеса коже и поткожног ткива</t>
  </si>
  <si>
    <t xml:space="preserve">30223-03 </t>
  </si>
  <si>
    <t>Инцизија и дренажа апсцеса меког ткива</t>
  </si>
  <si>
    <t>30224-01</t>
  </si>
  <si>
    <t>Перкутана дренажа интра-абдоминалног апсцеса, хематома или цисте</t>
  </si>
  <si>
    <t>30406-00</t>
  </si>
  <si>
    <t>Абдоминална парацентеза</t>
  </si>
  <si>
    <t>31230-05</t>
  </si>
  <si>
    <t>Ексцизија лезије(а) на кожи и поткожном ткиву гениталија</t>
  </si>
  <si>
    <t>31551-00</t>
  </si>
  <si>
    <t>Инцизија и дренажа дојке</t>
  </si>
  <si>
    <t>32177-00</t>
  </si>
  <si>
    <t>Одстрањивање кондилома аналног канала и перианалне регије</t>
  </si>
  <si>
    <t>35500-00</t>
  </si>
  <si>
    <t>Гинеколошки преглед</t>
  </si>
  <si>
    <t xml:space="preserve">35503-00 </t>
  </si>
  <si>
    <r>
      <t>Убацивање интраутериног уређаја (</t>
    </r>
    <r>
      <rPr>
        <i/>
        <sz val="10"/>
        <rFont val="Times New Roman"/>
        <family val="1"/>
        <charset val="238"/>
      </rPr>
      <t>IUD</t>
    </r>
    <r>
      <rPr>
        <sz val="10"/>
        <rFont val="Times New Roman"/>
        <family val="1"/>
        <charset val="238"/>
      </rPr>
      <t>)</t>
    </r>
  </si>
  <si>
    <t xml:space="preserve">35506-02 </t>
  </si>
  <si>
    <t>Уклањање интраутериног уређаја</t>
  </si>
  <si>
    <t>35507-01</t>
  </si>
  <si>
    <t>Деструкција брадавица вулве</t>
  </si>
  <si>
    <t>35513-00</t>
  </si>
  <si>
    <t>Лечење цисте Бартолинијеве жлезде</t>
  </si>
  <si>
    <t>35518-00</t>
  </si>
  <si>
    <t>Пункција цисте јајника</t>
  </si>
  <si>
    <t xml:space="preserve">35520-00 </t>
  </si>
  <si>
    <t xml:space="preserve">Лечење апсцеса Бартолинијеве жлезде </t>
  </si>
  <si>
    <t>35539-03</t>
  </si>
  <si>
    <t>Биопсија вагине</t>
  </si>
  <si>
    <t>Биопсија грлића материце</t>
  </si>
  <si>
    <t>35611-00</t>
  </si>
  <si>
    <t>Полипектомија грлића материце</t>
  </si>
  <si>
    <t>35615-00</t>
  </si>
  <si>
    <t>Биопсија вулве</t>
  </si>
  <si>
    <t xml:space="preserve">35640-00 </t>
  </si>
  <si>
    <t xml:space="preserve">Дилатација цервикалног канала и киретажа материце </t>
  </si>
  <si>
    <t xml:space="preserve">35640-01 </t>
  </si>
  <si>
    <t>Киретажа материце без дилатације цервикалног канала</t>
  </si>
  <si>
    <t>35640-02</t>
  </si>
  <si>
    <t>Дилатација грлића материце</t>
  </si>
  <si>
    <t xml:space="preserve">35640-03 </t>
  </si>
  <si>
    <t xml:space="preserve">Сукциона киретажа материце </t>
  </si>
  <si>
    <t>35643-03</t>
  </si>
  <si>
    <t xml:space="preserve">Дилатација и евакуација садржаја материце </t>
  </si>
  <si>
    <t>36800-03</t>
  </si>
  <si>
    <t>Уклањање сталног уринарног катетера - кроз уретру (ендоскопски)</t>
  </si>
  <si>
    <t>55028-00</t>
  </si>
  <si>
    <t>Ултразвучни преглед главе</t>
  </si>
  <si>
    <t>55700-00</t>
  </si>
  <si>
    <t>Ултразвучни преглед због детекције абнормалности фетуса</t>
  </si>
  <si>
    <t>55700-02</t>
  </si>
  <si>
    <t>Ултразвучни преглед абдомена или пелвиса због осталих стања повезаних са трудноћом</t>
  </si>
  <si>
    <t>55729-01</t>
  </si>
  <si>
    <t>Ултразвучни дуплекс преглед умбиликалне артерије</t>
  </si>
  <si>
    <t>55731-00</t>
  </si>
  <si>
    <t>81858-19</t>
  </si>
  <si>
    <r>
      <t>Тест оралног оптерећења глукозом (</t>
    </r>
    <r>
      <rPr>
        <i/>
        <sz val="10"/>
        <rFont val="Times New Roman"/>
        <family val="1"/>
        <charset val="238"/>
      </rPr>
      <t>OGTT</t>
    </r>
    <r>
      <rPr>
        <sz val="10"/>
        <rFont val="Times New Roman"/>
        <family val="1"/>
        <charset val="238"/>
      </rPr>
      <t xml:space="preserve"> тест)</t>
    </r>
  </si>
  <si>
    <t>81858-23</t>
  </si>
  <si>
    <t>Континуирано амбулаторно мерење гликемије методом накнадног и истиовременог очитавања</t>
  </si>
  <si>
    <t>90437-00</t>
  </si>
  <si>
    <t>Остале деструкција лезија вагине</t>
  </si>
  <si>
    <t>90438-00</t>
  </si>
  <si>
    <t>Остале процедуре на вагини</t>
  </si>
  <si>
    <t>90439-00</t>
  </si>
  <si>
    <t>Остале деструкције лезија вулве</t>
  </si>
  <si>
    <t>Ексцизија лезије вулве</t>
  </si>
  <si>
    <t>90462-00</t>
  </si>
  <si>
    <t>Индукција побачаја простагландиском вагиналетом</t>
  </si>
  <si>
    <t>90472-00</t>
  </si>
  <si>
    <t>Епизиотомија</t>
  </si>
  <si>
    <t xml:space="preserve">90479-00 </t>
  </si>
  <si>
    <t>Сутура лацерације вагине након порођаја</t>
  </si>
  <si>
    <t xml:space="preserve">90481-00 </t>
  </si>
  <si>
    <t>Сутура повреда перинеума првог или другог степена</t>
  </si>
  <si>
    <t xml:space="preserve">90482-00 </t>
  </si>
  <si>
    <t>Мануелна екстракција постељице</t>
  </si>
  <si>
    <t xml:space="preserve">90483-00 </t>
  </si>
  <si>
    <t xml:space="preserve">Постпартална мануелна ревизија материчне шупљине </t>
  </si>
  <si>
    <t>90686-01</t>
  </si>
  <si>
    <t xml:space="preserve"> Обрада коже и поткожног ткива без ексцизије</t>
  </si>
  <si>
    <t xml:space="preserve">92001-00 </t>
  </si>
  <si>
    <t xml:space="preserve">Општи физикални преглед </t>
  </si>
  <si>
    <t xml:space="preserve">92025-00 </t>
  </si>
  <si>
    <t>Испирање ока</t>
  </si>
  <si>
    <t>92029-00</t>
  </si>
  <si>
    <t>Лаважа  носница</t>
  </si>
  <si>
    <t>92043-00</t>
  </si>
  <si>
    <t>Примена лека помоћу небулизатора</t>
  </si>
  <si>
    <t>92063-00</t>
  </si>
  <si>
    <t>Трансфузија плазма експандера</t>
  </si>
  <si>
    <t>92066-00</t>
  </si>
  <si>
    <t>Пласирање цеви у ректум</t>
  </si>
  <si>
    <t>92076-00</t>
  </si>
  <si>
    <t>92102-00</t>
  </si>
  <si>
    <t>Испирање цистосоме</t>
  </si>
  <si>
    <t>92103-00</t>
  </si>
  <si>
    <t xml:space="preserve"> Вагинално испирање</t>
  </si>
  <si>
    <t>92104-00</t>
  </si>
  <si>
    <t>Вагинална штрајфна</t>
  </si>
  <si>
    <t>92107-00</t>
  </si>
  <si>
    <t>Пласирање осталих вагиналних песара</t>
  </si>
  <si>
    <t xml:space="preserve">92110-00 </t>
  </si>
  <si>
    <t>Замена штрајфне или дрена вагине или вулве</t>
  </si>
  <si>
    <t>92112-00</t>
  </si>
  <si>
    <t xml:space="preserve">Уклањање штрајфне вагине или вулве </t>
  </si>
  <si>
    <t>92118-00</t>
  </si>
  <si>
    <t>Уклањање катетера уретеростоме или уретералног катетера</t>
  </si>
  <si>
    <t>92120-00</t>
  </si>
  <si>
    <t>Уклањање уретералног стента</t>
  </si>
  <si>
    <t>92140-00</t>
  </si>
  <si>
    <t>Уклањање завоја са трупа, некласифијовано на другом месту</t>
  </si>
  <si>
    <t>92141-00</t>
  </si>
  <si>
    <t>Уклањање дрена из трбуха</t>
  </si>
  <si>
    <t>92142-00</t>
  </si>
  <si>
    <t>Уклањање осталих уређаја са трупа</t>
  </si>
  <si>
    <t xml:space="preserve">92145-00 </t>
  </si>
  <si>
    <t xml:space="preserve">Вакцинација против туберкулозе </t>
  </si>
  <si>
    <t xml:space="preserve">92148-00 </t>
  </si>
  <si>
    <t xml:space="preserve"> Давање токсоида тетануса</t>
  </si>
  <si>
    <t xml:space="preserve"> Примена тетанусног антитоксина</t>
  </si>
  <si>
    <t>92168-00</t>
  </si>
  <si>
    <r>
      <t xml:space="preserve">Давање вакцине против----- </t>
    </r>
    <r>
      <rPr>
        <sz val="11"/>
        <rFont val="Times New Roman"/>
        <family val="1"/>
        <charset val="238"/>
      </rPr>
      <t>хепатитиса  Б---</t>
    </r>
  </si>
  <si>
    <t xml:space="preserve">92173-00 </t>
  </si>
  <si>
    <t>Пасивна имунизација са Rh(D) имуноглобулином</t>
  </si>
  <si>
    <t>92195-00</t>
  </si>
  <si>
    <t>Испирање катетера, некласификовано на другом месту</t>
  </si>
  <si>
    <t xml:space="preserve">92204-00 </t>
  </si>
  <si>
    <t>Неинвазивни дијагностички тестови, мерења или истраживања, некласификовано на другом месту</t>
  </si>
  <si>
    <t>92513-99</t>
  </si>
  <si>
    <t>Инфилтрација локалног анестетика, AСA 99</t>
  </si>
  <si>
    <t>96020-00</t>
  </si>
  <si>
    <t>Процена интегритета коже</t>
  </si>
  <si>
    <t>Остале процене, консултације и евалуације</t>
  </si>
  <si>
    <t>96067-00</t>
  </si>
  <si>
    <t>Саветовање или подучавање о исхрани/дневном уносу хране</t>
  </si>
  <si>
    <t>96072-00</t>
  </si>
  <si>
    <t>Саветованје или подучавање о прописаним/самоизабраним лековима</t>
  </si>
  <si>
    <t>96075-00</t>
  </si>
  <si>
    <t>Саветовање или подучавање о бризи о самом себи</t>
  </si>
  <si>
    <t>96076-00</t>
  </si>
  <si>
    <t>Саветовање или подучавање о одржавању здравља и опоравку</t>
  </si>
  <si>
    <t>96196-08</t>
  </si>
  <si>
    <t>Интра-артеријско давање фармаколошког средства, електролит</t>
  </si>
  <si>
    <t>96197-00</t>
  </si>
  <si>
    <t>Интрамускуларно давање фармаколошког средства, антинеопластично средство</t>
  </si>
  <si>
    <t>Интравенско давање фармаколошког средства, антинеопластично средство</t>
  </si>
  <si>
    <t>Интравенско давање фармаколошког средства, тромболитичко средство</t>
  </si>
  <si>
    <t>96200-00</t>
  </si>
  <si>
    <t>Субкутано давање фармаколошког средства, антинеопластично средство</t>
  </si>
  <si>
    <t>Субкутано давање фармаколошког средства, тромболитичко средство</t>
  </si>
  <si>
    <t>Субкутано давање фармаколошког средства, анти-инфективно средство</t>
  </si>
  <si>
    <t>96200-03</t>
  </si>
  <si>
    <t>Субкутано давање фармаколошког средства, стероид</t>
  </si>
  <si>
    <t>96206-09</t>
  </si>
  <si>
    <t>Неназначен начин давања фармаколошког средства, друго и некласификовано фармаколошко средство</t>
  </si>
  <si>
    <t>96203-00</t>
  </si>
  <si>
    <t>Oрално давање фармаколошког средства, антинеопластичко средство</t>
  </si>
  <si>
    <t>Орално давање фармаколошког средства, анти-инфективно средство</t>
  </si>
  <si>
    <t>96203-03</t>
  </si>
  <si>
    <t>Орално давање фармаколошког средства, стероид</t>
  </si>
  <si>
    <t>96203-06</t>
  </si>
  <si>
    <t>Орално давање фармаколошког средства, инсулин</t>
  </si>
  <si>
    <t>35637-08</t>
  </si>
  <si>
    <t>Лапараскопска електрокаутеризација јајника, дрилинг оваријума</t>
  </si>
  <si>
    <t>35638-00</t>
  </si>
  <si>
    <t>Лапараскопска клинаста ресекција јајника</t>
  </si>
  <si>
    <t>35638-01</t>
  </si>
  <si>
    <t>Лапароскопска парцијална овариректома *</t>
  </si>
  <si>
    <t>35638-02</t>
  </si>
  <si>
    <t>Лапароскопска овариактомиа , једнострана*</t>
  </si>
  <si>
    <t>35638-04</t>
  </si>
  <si>
    <t>Лапароскопска оваријална цистекомија, једнострана*</t>
  </si>
  <si>
    <t>35638-5</t>
  </si>
  <si>
    <t>Лапароскопска оваријална цистекомија, обострана*</t>
  </si>
  <si>
    <t>35638-07</t>
  </si>
  <si>
    <t>Лараскопска парцијална салингтомија једнострана</t>
  </si>
  <si>
    <t>35649-01</t>
  </si>
  <si>
    <t>Лапараскопска миомектомија</t>
  </si>
  <si>
    <t>35638-09</t>
  </si>
  <si>
    <t>Лапароскопска салпингенктомија, једнострана*</t>
  </si>
  <si>
    <t>35638-10</t>
  </si>
  <si>
    <t>Лапароскопска салпингенктомија, обострамна*</t>
  </si>
  <si>
    <t>Лапароскопска салпингоовариектомија, једнострана*</t>
  </si>
  <si>
    <t>Лапароскопска салпингектомија са уклњањем трудноће у јајоводу*</t>
  </si>
  <si>
    <t>35688-00</t>
  </si>
  <si>
    <t>Лапараскопска стерилизација</t>
  </si>
  <si>
    <t>Превенција декубитуса</t>
  </si>
  <si>
    <t xml:space="preserve">Пратња или транспорт клијента  </t>
  </si>
  <si>
    <t>Узимање биолошког материјала за микробиолошки преглед</t>
  </si>
  <si>
    <t>Узимање биолошког материјала за микробиолошки преглед у транспортну подлогу</t>
  </si>
  <si>
    <t>L020271</t>
  </si>
  <si>
    <t>Преглед вагиналног бриса на бактеријску вагинозу изолацијом узрочника</t>
  </si>
  <si>
    <t>L019190</t>
  </si>
  <si>
    <t>Бактериолошки преглед бриса спољашњих гениталија или вагине или цервикса или уретре</t>
  </si>
  <si>
    <t>55700-01</t>
  </si>
  <si>
    <t xml:space="preserve">Ултразвучни преглед због мерења раста фетуса </t>
  </si>
  <si>
    <t>Одсек за акушерство</t>
  </si>
  <si>
    <t>11700-00</t>
  </si>
  <si>
    <t xml:space="preserve">13839-02 </t>
  </si>
  <si>
    <t>Узимање узорка крви адреналне вене</t>
  </si>
  <si>
    <t>260035</t>
  </si>
  <si>
    <t>Недељно нулто извештавање у надзору над АФП/морбилама/рубелом</t>
  </si>
  <si>
    <t>260094</t>
  </si>
  <si>
    <t>Дезинфекција санитарног чвора по објекту</t>
  </si>
  <si>
    <t>Дезинфекција робе и постељине</t>
  </si>
  <si>
    <t>Превијње  ране</t>
  </si>
  <si>
    <t>30075-00</t>
  </si>
  <si>
    <t>Биопсија лимфног чвора</t>
  </si>
  <si>
    <t>35688-02</t>
  </si>
  <si>
    <t xml:space="preserve"> 35713-01 </t>
  </si>
  <si>
    <t>Дијатермија лезија карличне шупљине</t>
  </si>
  <si>
    <t xml:space="preserve">90465-00 </t>
  </si>
  <si>
    <t>Индукција порођаја окситоцином</t>
  </si>
  <si>
    <t>90465-01</t>
  </si>
  <si>
    <t>Индукција порођаја простагландином</t>
  </si>
  <si>
    <t>90466-00</t>
  </si>
  <si>
    <t>Активно вођење порођаја применом лекова</t>
  </si>
  <si>
    <t xml:space="preserve">90467-00 </t>
  </si>
  <si>
    <t>Спонтани порођај код теменог положаја</t>
  </si>
  <si>
    <t>90469-00</t>
  </si>
  <si>
    <t>Довршавање порођаја вакуум екстракцијом</t>
  </si>
  <si>
    <t xml:space="preserve">90470-00 </t>
  </si>
  <si>
    <t xml:space="preserve">Спонтани карлични порођај </t>
  </si>
  <si>
    <t>92044-00</t>
  </si>
  <si>
    <t>92173-00</t>
  </si>
  <si>
    <t>92200-00</t>
  </si>
  <si>
    <t>Уклањање шавова, некласификованих на другом месту</t>
  </si>
  <si>
    <t>82513-99</t>
  </si>
  <si>
    <t>96158-00</t>
  </si>
  <si>
    <t>Поновно увежбавање контроле мокрења</t>
  </si>
  <si>
    <t>96197-07</t>
  </si>
  <si>
    <t>Интрамускуларно давање фармаколошког средства, хранљива супстанца</t>
  </si>
  <si>
    <t>Субкутано давање фармаколошког средства, друго и некласификовано фармакколошко средство</t>
  </si>
  <si>
    <t>96203-08</t>
  </si>
  <si>
    <t>Орално давање фармаколошког средства, електролит</t>
  </si>
  <si>
    <t>Одељење за неонатологију</t>
  </si>
  <si>
    <t>11713-00</t>
  </si>
  <si>
    <t>Снимање просечног сигнала ЕКГ-а</t>
  </si>
  <si>
    <t>11332-00</t>
  </si>
  <si>
    <t>Испитивање отоакустичке емисије изазваном кликом (ТЕОАЕ)</t>
  </si>
  <si>
    <t>13300-02</t>
  </si>
  <si>
    <t>Умбиликална венска катетеризација/канилација код новорођенчета</t>
  </si>
  <si>
    <t xml:space="preserve">13306-00 </t>
  </si>
  <si>
    <t xml:space="preserve">Трансфузија ради замене крви код новорођенчета </t>
  </si>
  <si>
    <t xml:space="preserve">13312-00 </t>
  </si>
  <si>
    <t xml:space="preserve">Вађење крви новорођенчета у дијагностичке сврхе </t>
  </si>
  <si>
    <t>13312-00</t>
  </si>
  <si>
    <t>13942-02</t>
  </si>
  <si>
    <t>Одржавање уређаја за давање лека</t>
  </si>
  <si>
    <t>30278-00</t>
  </si>
  <si>
    <t>Лингвална френектомија</t>
  </si>
  <si>
    <t>30278-02</t>
  </si>
  <si>
    <t>Лингвална френотомија</t>
  </si>
  <si>
    <t>Мониторинг</t>
  </si>
  <si>
    <t>Кинезитерапија у новорођенчета и одојчета</t>
  </si>
  <si>
    <t xml:space="preserve">55816-00 </t>
  </si>
  <si>
    <t>Ултразвучни преглед кука</t>
  </si>
  <si>
    <t>Индивидуални рад са децом (јувенилни артритис, церебрала и сл.)</t>
  </si>
  <si>
    <t>рехабилитација новорођенчета рођеног у термину на акушерском одељењу</t>
  </si>
  <si>
    <t>81849-00</t>
  </si>
  <si>
    <t>Бронходилататорни тест</t>
  </si>
  <si>
    <t>90677-00</t>
  </si>
  <si>
    <t>Остале процедуре фототерапије, на кожи</t>
  </si>
  <si>
    <t>Ултразвучни преглед осталих области</t>
  </si>
  <si>
    <t>92001-001</t>
  </si>
  <si>
    <t>Преглед новорођенчета</t>
  </si>
  <si>
    <t xml:space="preserve">92029-00 </t>
  </si>
  <si>
    <t>Лаважа носница</t>
  </si>
  <si>
    <t>92062-00</t>
  </si>
  <si>
    <t>Давање вакцине против хепатитиса  Б</t>
  </si>
  <si>
    <t>92203-00</t>
  </si>
  <si>
    <t>Екстракција млека из дојке у лактацији</t>
  </si>
  <si>
    <t>96022-00</t>
  </si>
  <si>
    <t>Процена одржавања здравља и опоравак</t>
  </si>
  <si>
    <t>96026-00</t>
  </si>
  <si>
    <t>Процена исхране/дневног уноса хране</t>
  </si>
  <si>
    <t xml:space="preserve">96080-00 </t>
  </si>
  <si>
    <t>Саветовање или подучавање о планирању породице, припремању за родитељство</t>
  </si>
  <si>
    <t>96096-00</t>
  </si>
  <si>
    <t>Орална нутритивна подршка</t>
  </si>
  <si>
    <t xml:space="preserve">96088-00 </t>
  </si>
  <si>
    <t>Генетско саветовање или подучавање</t>
  </si>
  <si>
    <t>Пријава сумње на заразно одељење</t>
  </si>
  <si>
    <t>L008953</t>
  </si>
  <si>
    <t>Целокупни хемијски преглед, релативна густина и седимент урина - аутоматски са дигиталном проточном микроскопијом</t>
  </si>
  <si>
    <t>ОСТАЛЕ УСЛУГЕ - УКУПНО</t>
  </si>
  <si>
    <t>Услуге дневне болнице</t>
  </si>
  <si>
    <t>35618-00</t>
  </si>
  <si>
    <t>35647-00</t>
  </si>
  <si>
    <t>Екцизија промењивих зона грлића омчицом (ЛЛЕТЗ) и ЛООП екцизија ЛЛЕТЗ ексцизиона конусна биопсија</t>
  </si>
  <si>
    <t>Вагинално испирање</t>
  </si>
  <si>
    <t>92204-00</t>
  </si>
  <si>
    <t>Инфилтрација локалног анестетика, АСА 99</t>
  </si>
  <si>
    <t>Инфилтрација локалног анестетика, АСА 29</t>
  </si>
  <si>
    <t>Орално давање фармаколошког  средства</t>
  </si>
  <si>
    <t>Орално давање фармаколошког  средства - друго и некласификовано фармаколошко средство</t>
  </si>
  <si>
    <t>УКУПНО ДНЕВНА</t>
  </si>
  <si>
    <t>УКУПНО ОСТАЛЕ УСЛУГЕ</t>
  </si>
  <si>
    <r>
      <rPr>
        <b/>
        <sz val="11"/>
        <rFont val="Calibri"/>
        <family val="2"/>
        <scheme val="minor"/>
      </rPr>
      <t xml:space="preserve">Образложење: </t>
    </r>
    <r>
      <rPr>
        <sz val="11"/>
        <rFont val="Calibri"/>
        <family val="2"/>
        <scheme val="minor"/>
      </rPr>
      <t>План за пацијенте на стационару реализован је у нешто нижем проценту, што не значи да ће до краја године бити на планираном нивоу. Разлог ниже реализације делом је и кашњење са применом нове технологије (Хистероскопије).</t>
    </r>
  </si>
  <si>
    <t xml:space="preserve">11713-00 </t>
  </si>
  <si>
    <t>Израда индивидуалних извештаја</t>
  </si>
  <si>
    <t>260001</t>
  </si>
  <si>
    <t>Појединачна пријава заразне болести</t>
  </si>
  <si>
    <t>260002</t>
  </si>
  <si>
    <t>Пријава сумње на заразно обољење</t>
  </si>
  <si>
    <t>260005</t>
  </si>
  <si>
    <t>Пријава о могућности инфекције вирусом беснила</t>
  </si>
  <si>
    <t>260006</t>
  </si>
  <si>
    <t>Пријава маларије</t>
  </si>
  <si>
    <t>260007</t>
  </si>
  <si>
    <t>Пријава болничке инфекције</t>
  </si>
  <si>
    <t>260008</t>
  </si>
  <si>
    <t>Пријава о лабораторијски утврђеном узрочнику заразне болести</t>
  </si>
  <si>
    <t>260009</t>
  </si>
  <si>
    <t>Евидентирање пријаве заразне болести</t>
  </si>
  <si>
    <t>2600073</t>
  </si>
  <si>
    <t>Епидемиолошки надзор над клицоношама одређених заразних болсести</t>
  </si>
  <si>
    <t>Дезинфекција  просторија замагљивањем по објекту</t>
  </si>
  <si>
    <t>Кардиопулмонална реанимација</t>
  </si>
  <si>
    <t>92100-00</t>
  </si>
  <si>
    <t>Инспирисање уретеростоме или уретералног катетера</t>
  </si>
  <si>
    <t xml:space="preserve">92151-00 </t>
  </si>
  <si>
    <t>Вакцинација против беснила</t>
  </si>
  <si>
    <t>Прарња или транспорт клијента</t>
  </si>
  <si>
    <t xml:space="preserve">92175-00 </t>
  </si>
  <si>
    <t xml:space="preserve"> Пасивна имунизација имуноглобулином беснила </t>
  </si>
  <si>
    <t xml:space="preserve">92176-00 </t>
  </si>
  <si>
    <t>Пасивна имунизација хепатитис Б имуноглобулином</t>
  </si>
  <si>
    <t>Oстале процене, консултације или евалуације</t>
  </si>
  <si>
    <t xml:space="preserve">96066-00 </t>
  </si>
  <si>
    <t xml:space="preserve">Превентивно саветовање или подучавање </t>
  </si>
  <si>
    <t>Дренажа респираторног система без инцизије</t>
  </si>
  <si>
    <t>Орално давање фармаколошког средства, тромболитичко средство</t>
  </si>
  <si>
    <t>орално давање фармаколошког средства, инсулин</t>
  </si>
  <si>
    <t>Орално давање фармаколошког средства, друго и некласифијковано фармаколошко средсво</t>
  </si>
  <si>
    <t>Узимање биолошког материјала   за микроскопски преглед</t>
  </si>
  <si>
    <t>Потврда о смрти</t>
  </si>
  <si>
    <t>260011</t>
  </si>
  <si>
    <t>Пријава носилаштва заразне болести</t>
  </si>
  <si>
    <t>96066-00</t>
  </si>
  <si>
    <t>Орално давање фармаколошког средства, друго и некласификовано ф</t>
  </si>
  <si>
    <t>УКУПНО  ДНЕВНА</t>
  </si>
  <si>
    <t>УКУПНО   ОСТАЛЕ УСЛУГЕ</t>
  </si>
  <si>
    <t>Напомена: Разлог за смањен број плана за поједине услуге је нови Правилник о пријави заразних болести.</t>
  </si>
  <si>
    <t>090011</t>
  </si>
  <si>
    <t>Саветодавни интервју</t>
  </si>
  <si>
    <t>090044</t>
  </si>
  <si>
    <t>Саветодавни интервју социјалног радника</t>
  </si>
  <si>
    <t>090208</t>
  </si>
  <si>
    <t>Прикупљање хетеро-анамнестичких података о терену</t>
  </si>
  <si>
    <t xml:space="preserve">11000-00 </t>
  </si>
  <si>
    <r>
      <t xml:space="preserve">Електроенцефалографија </t>
    </r>
    <r>
      <rPr>
        <sz val="10"/>
        <color indexed="8"/>
        <rFont val="Times New Roman"/>
        <family val="1"/>
      </rPr>
      <t>(ЕЕГ)</t>
    </r>
  </si>
  <si>
    <t xml:space="preserve">11012-00 </t>
  </si>
  <si>
    <r>
      <t xml:space="preserve">Електромиографија </t>
    </r>
    <r>
      <rPr>
        <b/>
        <sz val="10"/>
        <color indexed="8"/>
        <rFont val="Times New Roman"/>
        <family val="1"/>
        <charset val="238"/>
      </rPr>
      <t>(ЕМГ)</t>
    </r>
  </si>
  <si>
    <t>11012-01</t>
  </si>
  <si>
    <t>Студије спроводљивости на 1 нервu</t>
  </si>
  <si>
    <t xml:space="preserve">11015-00 </t>
  </si>
  <si>
    <t>Студије спроводљивости на 2 или 3 нерва</t>
  </si>
  <si>
    <t>11614-00</t>
  </si>
  <si>
    <t>Преглед и снимање (сонографија) интракранијалне артеријске циркулације коришћењем транскранијалног доплера</t>
  </si>
  <si>
    <t>Остале електрокардиографије</t>
  </si>
  <si>
    <t>13706-01</t>
  </si>
  <si>
    <t>Трансфузија пуне крви</t>
  </si>
  <si>
    <t>13706-02</t>
  </si>
  <si>
    <t>Трансфузија еритроцита</t>
  </si>
  <si>
    <t>13706-05</t>
  </si>
  <si>
    <t>Трансфузија гамаглобулина</t>
  </si>
  <si>
    <t>Саветовање о примени прописаног лека</t>
  </si>
  <si>
    <t>Израда индивидуалних извештаја ...</t>
  </si>
  <si>
    <t>Узорковање и слање материјала за лабораторијско испитивање</t>
  </si>
  <si>
    <t>Дезинфекција просторије замагљивањем по објекту</t>
  </si>
  <si>
    <t>Дезинфекцијатекстилних, кожних, гумених и пластичних материјала</t>
  </si>
  <si>
    <t>Континуирана регистрација ЕКГ</t>
  </si>
  <si>
    <t>600813</t>
  </si>
  <si>
    <t>Рани рехабилитациони третман пацијента у акутним неуролошким/неурохируршким станјима</t>
  </si>
  <si>
    <t>Катетеризација и канилација осталих вена</t>
  </si>
  <si>
    <t>92001-00</t>
  </si>
  <si>
    <t>Општи физикални преглед</t>
  </si>
  <si>
    <t>92162-00</t>
  </si>
  <si>
    <t>96008-00</t>
  </si>
  <si>
    <t>Неуролошка процена</t>
  </si>
  <si>
    <t>Oстале процене, консултације и евалуације</t>
  </si>
  <si>
    <t>Превенција подучавање или саветовање</t>
  </si>
  <si>
    <t>Саветовање о одржавању здравља</t>
  </si>
  <si>
    <t>Пратња или транспорт клијента</t>
  </si>
  <si>
    <t>96197-01</t>
  </si>
  <si>
    <t>Интрамускуларно давање фармаколошког средства, тромболитичко средство</t>
  </si>
  <si>
    <t>96197-04</t>
  </si>
  <si>
    <t>Интрамускуларно давање фармаколошког средства, антидот</t>
  </si>
  <si>
    <t>96197-08</t>
  </si>
  <si>
    <t>Интрамускуларно давање фармаколошког средства, електролит</t>
  </si>
  <si>
    <t>Орално давање фармаколошког средства, антинеопластичко средство</t>
  </si>
  <si>
    <t>Неки други начин давања фармаколошког средства</t>
  </si>
  <si>
    <r>
      <t xml:space="preserve">Електроенцефалографија </t>
    </r>
    <r>
      <rPr>
        <sz val="10"/>
        <color indexed="8"/>
        <rFont val="Times New Roman"/>
        <family val="1"/>
        <charset val="238"/>
      </rPr>
      <t>(ЕЕГ)</t>
    </r>
  </si>
  <si>
    <t>Каететеризација/канилација осталих вена</t>
  </si>
  <si>
    <t>Интравенско давање фармаколошког средства, храњива супстанца</t>
  </si>
  <si>
    <t>ВУ 0035</t>
  </si>
  <si>
    <t>Лечење акутног исхемијског можданог удара тромболитичком терапијом у првих 48 сати</t>
  </si>
  <si>
    <t>ОДЕЉЕЊЕ ЗА ХОСПИТАЛИЗАЦИЈУ - ОДСЕК ЗА ОТОРИНОЛАРИНГОЛОГИЈУ</t>
  </si>
  <si>
    <t>30032-00</t>
  </si>
  <si>
    <t>Репарација ране на кожи и поткожном ткиву лица или врата, површинска</t>
  </si>
  <si>
    <t>30052-00</t>
  </si>
  <si>
    <t>Реконструкција повреде - ране спољашњег ува</t>
  </si>
  <si>
    <t>30052-01</t>
  </si>
  <si>
    <t>Репарације ране на очном капку</t>
  </si>
  <si>
    <t>30052-02</t>
  </si>
  <si>
    <t>Репарација ране на усни</t>
  </si>
  <si>
    <t>30052-03</t>
  </si>
  <si>
    <t>Реконструкција повреде ране усне</t>
  </si>
  <si>
    <t>30052-04</t>
  </si>
  <si>
    <t>Затварање фистуле у уснох шупљини</t>
  </si>
  <si>
    <t>30075-24</t>
  </si>
  <si>
    <t>Биопсија меког непца</t>
  </si>
  <si>
    <t>30075-28</t>
  </si>
  <si>
    <t>Биопсија промена спољашњег ува</t>
  </si>
  <si>
    <t>30223-00</t>
  </si>
  <si>
    <t>Инцизија и дренажа хематома коже и поткожног ткива</t>
  </si>
  <si>
    <t xml:space="preserve"> Инцизија и дренажа апсцеса коже и поткожног ткива</t>
  </si>
  <si>
    <t>41503-00</t>
  </si>
  <si>
    <t>Уклањање страног тела из спољашњег слушног ходника оперативним путем</t>
  </si>
  <si>
    <t>41506-00</t>
  </si>
  <si>
    <t>Екстрипација полипа спољашњег слушног ходника</t>
  </si>
  <si>
    <t>41518-00</t>
  </si>
  <si>
    <t>Екстрипација егзостозе из спољашњег слушног ходника</t>
  </si>
  <si>
    <t>41533-00</t>
  </si>
  <si>
    <t>Атикптомија</t>
  </si>
  <si>
    <t>41545-00</t>
  </si>
  <si>
    <t>Мастоидектомија</t>
  </si>
  <si>
    <t>41626-00</t>
  </si>
  <si>
    <t>Миринготомија, једнострана</t>
  </si>
  <si>
    <t>41626-01</t>
  </si>
  <si>
    <t>Миринготомија, двострана</t>
  </si>
  <si>
    <t>41629-00</t>
  </si>
  <si>
    <t>Експлорација средњег уха</t>
  </si>
  <si>
    <t>41632-00</t>
  </si>
  <si>
    <t>Миринготомија са инсерцијом тубе, једнострана</t>
  </si>
  <si>
    <t>41632-01</t>
  </si>
  <si>
    <t>Миринготомија са инсерцијом тубе, обострана</t>
  </si>
  <si>
    <t>41635-00</t>
  </si>
  <si>
    <t>Ексцизија промена у средњем уву</t>
  </si>
  <si>
    <t>41641-00</t>
  </si>
  <si>
    <t>Каутеризација перфориране бубне опне</t>
  </si>
  <si>
    <t>41644-00</t>
  </si>
  <si>
    <t>Ексцизија ивице перфориране бубне опне</t>
  </si>
  <si>
    <t>41656-00</t>
  </si>
  <si>
    <t>Хемостаза епистаксе задњомтампонадом и/или кутеризацијом</t>
  </si>
  <si>
    <t>41668-00</t>
  </si>
  <si>
    <t>Ендоназална операција назалних полипа</t>
  </si>
  <si>
    <t>41671-00</t>
  </si>
  <si>
    <t>Субмукозна ресекција носне преграде</t>
  </si>
  <si>
    <t>41671-03</t>
  </si>
  <si>
    <t>Септопластика са субмукозном ресекцијом носне преграде</t>
  </si>
  <si>
    <t>41674-01</t>
  </si>
  <si>
    <t>Каутеризација или дијатермија носне преграде</t>
  </si>
  <si>
    <t>41686-00</t>
  </si>
  <si>
    <t>Конхотомија носних шкољки, једнострана</t>
  </si>
  <si>
    <t>41689-00</t>
  </si>
  <si>
    <t>Парцијална мукотомоија, једнострана</t>
  </si>
  <si>
    <t>41689-01</t>
  </si>
  <si>
    <t>Парцијална мукотомија, обострана</t>
  </si>
  <si>
    <t>41689-02</t>
  </si>
  <si>
    <t>Тотална мукотомија, једнострана</t>
  </si>
  <si>
    <t>41689-03</t>
  </si>
  <si>
    <t>Тотална мукотомија, обострана</t>
  </si>
  <si>
    <t>41695-00</t>
  </si>
  <si>
    <t>Уклањање носних шкољки криотерапијом</t>
  </si>
  <si>
    <t>41701-00</t>
  </si>
  <si>
    <t>Пункција и лаважа параназалног синуса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</si>
  <si>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</si>
  <si>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</si>
  <si>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</si>
  <si>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</si>
  <si>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41716-05</t>
  </si>
  <si>
    <t>Биопсија из максиларног синуса</t>
  </si>
  <si>
    <t>41741-00</t>
  </si>
  <si>
    <t>Отворена репозиција носних кости</t>
  </si>
  <si>
    <t>41743-00</t>
  </si>
  <si>
    <t>Трепанација фронталног синуса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</si>
  <si>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</si>
  <si>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</si>
  <si>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</si>
  <si>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</si>
  <si>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41797-00</t>
  </si>
  <si>
    <t>Заустављање хеморагије после тонзилектомие и аденоидектомије</t>
  </si>
  <si>
    <t>41801-00</t>
  </si>
  <si>
    <t>Аденоидектомија без тонзилектомије</t>
  </si>
  <si>
    <t xml:space="preserve">41822-00 </t>
  </si>
  <si>
    <t>Ригидна езофагоскопија са биопсијом</t>
  </si>
  <si>
    <t>41825-00</t>
  </si>
  <si>
    <t>Екстракција страног тела из једњака ригидним ендоскопом</t>
  </si>
  <si>
    <t>41852-00</t>
  </si>
  <si>
    <t>Ларингоскопија са уклањањем лезија</t>
  </si>
  <si>
    <t>41855-00</t>
  </si>
  <si>
    <t>Микроларингоскопија</t>
  </si>
  <si>
    <t>41864-00</t>
  </si>
  <si>
    <t>Микроларингоскопија са уклањањем лезија</t>
  </si>
  <si>
    <t>41881-00</t>
  </si>
  <si>
    <t>Отворена трахеостомија, привремена</t>
  </si>
  <si>
    <t>41881-02</t>
  </si>
  <si>
    <t>Ревизија трахеостоме</t>
  </si>
  <si>
    <t>41889-00</t>
  </si>
  <si>
    <t>Бронхоскопија</t>
  </si>
  <si>
    <t>41889-01</t>
  </si>
  <si>
    <t>Бронхоскопија кроз вештачки отвор - артефицијалну стому</t>
  </si>
  <si>
    <t>41895-00</t>
  </si>
  <si>
    <t>Бронхоскопија са уклањањем страног тела (ригидна)</t>
  </si>
  <si>
    <t>45632-00</t>
  </si>
  <si>
    <t>Ринопластика са корекцијом хрскавице</t>
  </si>
  <si>
    <t>45650-00</t>
  </si>
  <si>
    <t>Ревизија ринопластике</t>
  </si>
  <si>
    <t>45659-00</t>
  </si>
  <si>
    <t xml:space="preserve"> Корекција клемпавог ува</t>
  </si>
  <si>
    <t xml:space="preserve">47738-00 </t>
  </si>
  <si>
    <t>Затворена репозиција прелома носне кости</t>
  </si>
  <si>
    <t>47741-00</t>
  </si>
  <si>
    <t>Отворена репозиција прелома носне кости</t>
  </si>
  <si>
    <t>48239-00</t>
  </si>
  <si>
    <t>Пресађивање кости</t>
  </si>
  <si>
    <t>97322-00</t>
  </si>
  <si>
    <t>Хируршко уклањање јеедног зуба које не захтева уклањање кости или раздвајање зуба</t>
  </si>
  <si>
    <t>ОПЕРАЦИЈЕ - ОДСЕК МАКСИЛОФАЦИЈАЛНЕ ХИРУРГИЈЕ</t>
  </si>
  <si>
    <t>009123</t>
  </si>
  <si>
    <t>Ресекција једнокорених зуба</t>
  </si>
  <si>
    <t>009124</t>
  </si>
  <si>
    <t>Ресекција двокорених зуба</t>
  </si>
  <si>
    <t>009127</t>
  </si>
  <si>
    <t>Вађење зуба</t>
  </si>
  <si>
    <t>009129</t>
  </si>
  <si>
    <t>Хируршко вађење зуба</t>
  </si>
  <si>
    <t>009131</t>
  </si>
  <si>
    <t>Хируршко вађење импактираних умњака</t>
  </si>
  <si>
    <t>009134</t>
  </si>
  <si>
    <t>Уклањање мукозних циста</t>
  </si>
  <si>
    <t>009136</t>
  </si>
  <si>
    <t>Уклањање већих виличних циста</t>
  </si>
  <si>
    <t>009144</t>
  </si>
  <si>
    <t>Ревизија синуса-Цалдвел  лук</t>
  </si>
  <si>
    <t>009159</t>
  </si>
  <si>
    <t>Интраорална инцизиција апцеса</t>
  </si>
  <si>
    <t>009168</t>
  </si>
  <si>
    <t>Уклањање сплинта/шине</t>
  </si>
  <si>
    <t>009170</t>
  </si>
  <si>
    <t>Примарна обрада ране - са сутуром максилофацијалне регије</t>
  </si>
  <si>
    <t>009172</t>
  </si>
  <si>
    <t>Збрињавање прелома вилице стандардном шином</t>
  </si>
  <si>
    <t>009178</t>
  </si>
  <si>
    <t>Ексцизија бенигних/малигних кожних тумора са директном сутуром  M.F.регија</t>
  </si>
  <si>
    <t>009179</t>
  </si>
  <si>
    <t>Ексцизија бенигних/малигних тумора коже са реконструкцијом дефекта  М.Ф. Регија</t>
  </si>
  <si>
    <t>009180</t>
  </si>
  <si>
    <t>Уклањање тумора слузокоже усне дупље</t>
  </si>
  <si>
    <t>009181</t>
  </si>
  <si>
    <t>Малигни тумори усне - "W" ексцизија</t>
  </si>
  <si>
    <t>009182</t>
  </si>
  <si>
    <t>Малигни тумори усне - "V" ексцизија</t>
  </si>
  <si>
    <t>009187</t>
  </si>
  <si>
    <t>Екстраорална инцизија апцеса</t>
  </si>
  <si>
    <t>009242</t>
  </si>
  <si>
    <t>Уклањање круста, покрова була или некротичних наслага</t>
  </si>
  <si>
    <t>009306</t>
  </si>
  <si>
    <t>Уклањање страног тела из меких и коштаних ткива лица и вилице</t>
  </si>
  <si>
    <t>30075-19</t>
  </si>
  <si>
    <t>Биопсија језика</t>
  </si>
  <si>
    <t>30075-22</t>
  </si>
  <si>
    <t>Биопсија пљувачних жлезда или канала</t>
  </si>
  <si>
    <t>30075-23</t>
  </si>
  <si>
    <t>Биопсија усне шупљине</t>
  </si>
  <si>
    <t>30250-00</t>
  </si>
  <si>
    <t>Тотална ексцизија паротидне жлезде са очувањем фацијалног нерва</t>
  </si>
  <si>
    <t>30256-00</t>
  </si>
  <si>
    <t>Ексцизија субмандибуларне жлезде</t>
  </si>
  <si>
    <t>30259-00</t>
  </si>
  <si>
    <t>Ексцизија сублингвалне жлезде</t>
  </si>
  <si>
    <t>30266-02</t>
  </si>
  <si>
    <t>Уклањање калкулуса из пљувачних жлезда или канала</t>
  </si>
  <si>
    <t>30275-00</t>
  </si>
  <si>
    <t>Радикална ексцизија интраоралне лезије</t>
  </si>
  <si>
    <t>Лингвалнафренотомија</t>
  </si>
  <si>
    <t>30283-00</t>
  </si>
  <si>
    <t>Ексцизија цисте у устима</t>
  </si>
  <si>
    <t>30313-00</t>
  </si>
  <si>
    <t xml:space="preserve">Операција циста и фистула врата, медијалних </t>
  </si>
  <si>
    <t>30314-00</t>
  </si>
  <si>
    <t>Операција циста и фистула врата, латералних</t>
  </si>
  <si>
    <t>31205-00</t>
  </si>
  <si>
    <t>Ексцизија лезије(а) на кожи и поткожном ткиву осталих области</t>
  </si>
  <si>
    <t>31205-01</t>
  </si>
  <si>
    <t>Екцизија лезија(а) на кожи и поткожном ткиву очног капка</t>
  </si>
  <si>
    <t>31230-00</t>
  </si>
  <si>
    <t>Ексцизија лезије(а) на кожи и поткожном ткиву очног капка</t>
  </si>
  <si>
    <t>31230-01</t>
  </si>
  <si>
    <t>Ексцизија лезије(а) на кожи и поткожном ткиву носа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</si>
  <si>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</si>
  <si>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</si>
  <si>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</si>
  <si>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</si>
  <si>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31235-00</t>
  </si>
  <si>
    <t>Ексцизија лезије(а) на кожи и поткожном ткиву и другим деловима главе</t>
  </si>
  <si>
    <t xml:space="preserve">31235-01 </t>
  </si>
  <si>
    <t>Ексцизија лезије(а) на кожи и поткожном ткиву врата</t>
  </si>
  <si>
    <t>31350-00</t>
  </si>
  <si>
    <t>Ексцизија лезије другог ткива, некласификовано на другом месту</t>
  </si>
  <si>
    <t>31423-00</t>
  </si>
  <si>
    <t>Ексцизија (биопсија) лимфног чвора врата</t>
  </si>
  <si>
    <t>31423-01</t>
  </si>
  <si>
    <t>Регионална ексцизија лимфних чворова на врату</t>
  </si>
  <si>
    <t xml:space="preserve">31423-011 </t>
  </si>
  <si>
    <t>Дисекција врата селективна, једнострана</t>
  </si>
  <si>
    <t>39324-00</t>
  </si>
  <si>
    <t>Неуректомија-повре.периферн.нерва</t>
  </si>
  <si>
    <t>Биопсија мах.синуса</t>
  </si>
  <si>
    <t>41716-06</t>
  </si>
  <si>
    <t>Ехзизија лезије мах.синуса</t>
  </si>
  <si>
    <t>41722-00</t>
  </si>
  <si>
    <t>Затварање ороантралне фистуле</t>
  </si>
  <si>
    <t>45003-011</t>
  </si>
  <si>
    <t>Велики миокутанозни режањ</t>
  </si>
  <si>
    <t>45045-01</t>
  </si>
  <si>
    <t>Ексцизија артериовенске малформације носа</t>
  </si>
  <si>
    <t>45045-02</t>
  </si>
  <si>
    <t>Ексцизија артериовенске малформације усне</t>
  </si>
  <si>
    <t>45045-04</t>
  </si>
  <si>
    <t>Ексцизија артериовенске малформације врата</t>
  </si>
  <si>
    <t>45200-00</t>
  </si>
  <si>
    <t>Једноставан и мали локални режањ коже осталих области</t>
  </si>
  <si>
    <t>45200-001</t>
  </si>
  <si>
    <t>Компликовани и велики локални режањ коже било које области</t>
  </si>
  <si>
    <t>45206-00</t>
  </si>
  <si>
    <t>Једноставан и мали локални режањ коже очног капка</t>
  </si>
  <si>
    <t>45206-01</t>
  </si>
  <si>
    <t>Једноставан и мали локални режањ коже носа</t>
  </si>
  <si>
    <t>45206-03</t>
  </si>
  <si>
    <t>Једноставан и мали локални режањ коже ува</t>
  </si>
  <si>
    <t>45206-04</t>
  </si>
  <si>
    <t>Једноставан и мали локални режањ коже врата</t>
  </si>
  <si>
    <t>45206-09</t>
  </si>
  <si>
    <t>Једноставан и мали локални режањ коже осталих области лица</t>
  </si>
  <si>
    <t>45448-01</t>
  </si>
  <si>
    <t>Мали трансплантат парцијалне дебљине коже за нос</t>
  </si>
  <si>
    <t>45448-02</t>
  </si>
  <si>
    <t>Мали трансплант парцијалне дебљине коже за усну</t>
  </si>
  <si>
    <t>45448-09</t>
  </si>
  <si>
    <t>Мали трансплантат парцијалне дебљине коже за остале области лица</t>
  </si>
  <si>
    <t xml:space="preserve">45451-01 </t>
  </si>
  <si>
    <t>Трансплантат коже пуне дебљине на носу</t>
  </si>
  <si>
    <t>45451-09</t>
  </si>
  <si>
    <t>Трансплатација коже пуне дебљине на осталим областима</t>
  </si>
  <si>
    <t xml:space="preserve">45451-24 </t>
  </si>
  <si>
    <t>Трансплантат коже пуне дебљине на осталим областима лица</t>
  </si>
  <si>
    <t>45485-01</t>
  </si>
  <si>
    <t>Трансплант парцијалне дебљине коже за опекотину на носу</t>
  </si>
  <si>
    <t>45614-00</t>
  </si>
  <si>
    <t>Реконструкција очног капка</t>
  </si>
  <si>
    <t>45668-00</t>
  </si>
  <si>
    <t>Вермилионектомија</t>
  </si>
  <si>
    <t>45671-00</t>
  </si>
  <si>
    <t>Реконструкција усне са режњем, једини или први стадијум</t>
  </si>
  <si>
    <t xml:space="preserve">47762-00 </t>
  </si>
  <si>
    <t>Отворена репозиција прелома зигоматичне кости</t>
  </si>
  <si>
    <t>47762-01</t>
  </si>
  <si>
    <t>Затворена репозицијафрактуре зигоматичне кости са фиксацијом</t>
  </si>
  <si>
    <t>47765-00</t>
  </si>
  <si>
    <t>Отворена репозиција прелома зигоматичне кости са сполјашњом фиксацијом, 1 место</t>
  </si>
  <si>
    <t xml:space="preserve">47765-01 </t>
  </si>
  <si>
    <t>Отворена репозиција прелома зигоматичне кости са унутрашњом фиксацијом, 1 место</t>
  </si>
  <si>
    <t>47768-00</t>
  </si>
  <si>
    <t>Отворена репозиција прелома зигоматичне кости са спољашњом фиксацијом, 2 места</t>
  </si>
  <si>
    <t xml:space="preserve">47768-01 </t>
  </si>
  <si>
    <t>Отворена репозиција прелома зигоматичне кости са унутрашњом фиксацијом, 2 места</t>
  </si>
  <si>
    <t xml:space="preserve">47777-00 </t>
  </si>
  <si>
    <t>Отворена репозиција прелома мандибуле</t>
  </si>
  <si>
    <t>47789-00</t>
  </si>
  <si>
    <t>Отворена репозиција прелома мандибуле са унутрашњом фиксацијом</t>
  </si>
  <si>
    <t>52420-00</t>
  </si>
  <si>
    <t>Спољашња фиксација манидибуле помоћу интрамах.фиксације након реконструкције</t>
  </si>
  <si>
    <t>53403-00</t>
  </si>
  <si>
    <t>Имобилизација прелома манидбуле без постављања сплинта</t>
  </si>
  <si>
    <t>53429-00</t>
  </si>
  <si>
    <t>Отворена репозиција компликованог прелома мандибуле са унутрашњом фиксацијом</t>
  </si>
  <si>
    <t>90135-00</t>
  </si>
  <si>
    <t>Ехцизија лезије на језику</t>
  </si>
  <si>
    <t>90138-00</t>
  </si>
  <si>
    <t>90141-00</t>
  </si>
  <si>
    <t>Локална ексцизија лезије на тврдом непцу</t>
  </si>
  <si>
    <t>90141-01</t>
  </si>
  <si>
    <t>Остале ехцизије у устима</t>
  </si>
  <si>
    <t>Интраорална инцизија апсцеса</t>
  </si>
  <si>
    <t>009160</t>
  </si>
  <si>
    <t>Заустављање крварења</t>
  </si>
  <si>
    <t>009161</t>
  </si>
  <si>
    <t>Заустављање крварења хируршким путем</t>
  </si>
  <si>
    <t>009164</t>
  </si>
  <si>
    <t>Примарна обрада ране - интраорално</t>
  </si>
  <si>
    <t>009166</t>
  </si>
  <si>
    <t>Репозиција луксиранее доње вилице</t>
  </si>
  <si>
    <t>009169</t>
  </si>
  <si>
    <t>Примарна обрада ране - без сутуре максилофацијалне регије</t>
  </si>
  <si>
    <t>009177</t>
  </si>
  <si>
    <t>Биопсија</t>
  </si>
  <si>
    <t>009183</t>
  </si>
  <si>
    <t>Уклањање конаца</t>
  </si>
  <si>
    <t>009215</t>
  </si>
  <si>
    <t>Инфилтрациона анестезија</t>
  </si>
  <si>
    <t>009219</t>
  </si>
  <si>
    <t>Давање ињекције у терапијске / дијагностичке сврхе</t>
  </si>
  <si>
    <t>009220</t>
  </si>
  <si>
    <t>Превентивни преглед</t>
  </si>
  <si>
    <t>009249</t>
  </si>
  <si>
    <t>Лечење идиопатске тригениналне неуралгије</t>
  </si>
  <si>
    <t>11309-00</t>
  </si>
  <si>
    <t>Аудиометрија, ваздушна спроводљивост, стандардна техника</t>
  </si>
  <si>
    <t xml:space="preserve">11312-00 </t>
  </si>
  <si>
    <t>Аудиометрија, ваздушна и коштана спроводљивост, стандардна техника</t>
  </si>
  <si>
    <t>11315-01</t>
  </si>
  <si>
    <t>Говорна аудиометрија:тест дискриминације речи ( у %)</t>
  </si>
  <si>
    <t>11321-00</t>
  </si>
  <si>
    <t>Мерење глицеролом изазваних промена у функцији кохлее-глицеролски тест хидропса</t>
  </si>
  <si>
    <t xml:space="preserve">11324-00 </t>
  </si>
  <si>
    <t>Тимпанометрија стандардним пробним тоном</t>
  </si>
  <si>
    <t>11324-01</t>
  </si>
  <si>
    <t>Тимпанометрија високо фреквентним пробним тоном</t>
  </si>
  <si>
    <t xml:space="preserve">11332-00 </t>
  </si>
  <si>
    <r>
      <t>Испитивање отоакустичке емисије изазване кликом (</t>
    </r>
    <r>
      <rPr>
        <i/>
        <sz val="8"/>
        <rFont val="Times New Roman"/>
        <family val="1"/>
        <charset val="238"/>
      </rPr>
      <t>ТЕОАЕ</t>
    </r>
    <r>
      <rPr>
        <sz val="8"/>
        <rFont val="Times New Roman"/>
        <family val="1"/>
        <charset val="238"/>
      </rPr>
      <t xml:space="preserve">) </t>
    </r>
  </si>
  <si>
    <t>11333-00</t>
  </si>
  <si>
    <t>Калорички тест чула за равнотежу</t>
  </si>
  <si>
    <t xml:space="preserve">11336-00 </t>
  </si>
  <si>
    <t>Битермални калорички тест чула за равнотежу</t>
  </si>
  <si>
    <t>12000-00</t>
  </si>
  <si>
    <t>Тест кожне осетљивости са ≤ 20 алергена</t>
  </si>
  <si>
    <t>12003-00</t>
  </si>
  <si>
    <r>
      <t xml:space="preserve">Тест кожне осетљивости са </t>
    </r>
    <r>
      <rPr>
        <sz val="8"/>
        <rFont val="Calibri"/>
        <family val="2"/>
      </rPr>
      <t>≥</t>
    </r>
    <r>
      <rPr>
        <sz val="8"/>
        <rFont val="Times New Roman"/>
        <family val="1"/>
        <charset val="238"/>
      </rPr>
      <t xml:space="preserve"> 21 алергена</t>
    </r>
  </si>
  <si>
    <t>Терапија хладноћом</t>
  </si>
  <si>
    <t>Саветовање или информисање пацијента о примени прописаног лека</t>
  </si>
  <si>
    <t>241027</t>
  </si>
  <si>
    <t>Праћење терапијског деловања лека (услугу обавља специјалиста)</t>
  </si>
  <si>
    <t>250103</t>
  </si>
  <si>
    <t>Отварање медицинске документације</t>
  </si>
  <si>
    <t>26078</t>
  </si>
  <si>
    <t>Тумачење резултата лабораторијског испитивања по узорку</t>
  </si>
  <si>
    <t>30023-00</t>
  </si>
  <si>
    <t>Екцизија дебридмана меког ткива</t>
  </si>
  <si>
    <t>30026-00</t>
  </si>
  <si>
    <t>Репарација ране на кожи и поткожном ткиву осталих области, површинска</t>
  </si>
  <si>
    <t>30029-00</t>
  </si>
  <si>
    <t>Репарација ране на кожи и поткожном ткиву осталих области, која укључује меко ткиво</t>
  </si>
  <si>
    <t>30035-00</t>
  </si>
  <si>
    <t>Репарација ране на кожи и поткожном ткиву лица или врата, која укључује меко ткиво</t>
  </si>
  <si>
    <t>30061-00</t>
  </si>
  <si>
    <t>Уклањање страног тела из коже и поткожног ткива без инцизије</t>
  </si>
  <si>
    <t>30061-01</t>
  </si>
  <si>
    <t>Уклањање страног тела из фаринкса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</si>
  <si>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</si>
  <si>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</si>
  <si>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</si>
  <si>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</si>
  <si>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30075-01</t>
  </si>
  <si>
    <t>Биопсија меког ткива</t>
  </si>
  <si>
    <t>30075-02</t>
  </si>
  <si>
    <t>Биопсија паратироидних жлезда</t>
  </si>
  <si>
    <t>30075-25</t>
  </si>
  <si>
    <t>Биопсија тонзила аили аденоида</t>
  </si>
  <si>
    <t>30075-26</t>
  </si>
  <si>
    <t>Биопсија у фаринксу</t>
  </si>
  <si>
    <t>30189-01</t>
  </si>
  <si>
    <t>Уклањање осталих брадавица</t>
  </si>
  <si>
    <t>30223-02</t>
  </si>
  <si>
    <t>Остале инцизије и дренаже коже и поткожног ткива</t>
  </si>
  <si>
    <t>30223-03</t>
  </si>
  <si>
    <t>41500-00</t>
  </si>
  <si>
    <t>Уклањање страног тела из спољашњег слушног ходника</t>
  </si>
  <si>
    <t>41557-01</t>
  </si>
  <si>
    <t>Радикална мастоидектомија</t>
  </si>
  <si>
    <t>41647-00</t>
  </si>
  <si>
    <t>Тоалета ува, једнострано</t>
  </si>
  <si>
    <t>41647-01</t>
  </si>
  <si>
    <t>Тоалета ува, двострано</t>
  </si>
  <si>
    <t>41650-00</t>
  </si>
  <si>
    <t>Инспекција бубне опне, једнострано</t>
  </si>
  <si>
    <t>41650-01</t>
  </si>
  <si>
    <t>Инспекција бубне опне, обострано</t>
  </si>
  <si>
    <t>41653-00</t>
  </si>
  <si>
    <t>Предња риноскопија и/или задња риноскопија</t>
  </si>
  <si>
    <t>Хемостаза епистаксе задњом тампонадом и/или каутеризацијом</t>
  </si>
  <si>
    <t>41659-00</t>
  </si>
  <si>
    <t>Ендоназално уклањање страног тела носног кавума</t>
  </si>
  <si>
    <t>41674-00</t>
  </si>
  <si>
    <t>Каутеризација или дијатермија носних шкољки</t>
  </si>
  <si>
    <t>41677-00</t>
  </si>
  <si>
    <t>Хемостаза епистаксе предњом тампонадом и/или каутеризацијом</t>
  </si>
  <si>
    <t>41755-00</t>
  </si>
  <si>
    <t>Катетеризација Еустахијеве тубе</t>
  </si>
  <si>
    <t>41761-00</t>
  </si>
  <si>
    <t>Преглед носне шупљине и/или постназалног простора са биопсијом</t>
  </si>
  <si>
    <t>41807-00</t>
  </si>
  <si>
    <t>Инцизија и дренажа перитонзиларног апсцеса</t>
  </si>
  <si>
    <t>41816-00</t>
  </si>
  <si>
    <t>Ригидна езофагоскопија</t>
  </si>
  <si>
    <t>41849-00</t>
  </si>
  <si>
    <t>Ларингоскопија</t>
  </si>
  <si>
    <t xml:space="preserve">47948-00 </t>
  </si>
  <si>
    <t xml:space="preserve">Одстрањење средства за имобилизацију </t>
  </si>
  <si>
    <t>600122</t>
  </si>
  <si>
    <t>Пасивне сегментнее вежбе</t>
  </si>
  <si>
    <t>81832-02</t>
  </si>
  <si>
    <t>Процена разликовања боја</t>
  </si>
  <si>
    <t>81832-04</t>
  </si>
  <si>
    <t>Визуо-моторна процена</t>
  </si>
  <si>
    <t>81832-45</t>
  </si>
  <si>
    <t>Процена нистагмуса</t>
  </si>
  <si>
    <t>81836-01</t>
  </si>
  <si>
    <r>
      <t>Процентуални губитак слуха по Фаулеру (</t>
    </r>
    <r>
      <rPr>
        <i/>
        <sz val="8"/>
        <rFont val="Times New Roman"/>
        <family val="1"/>
        <charset val="238"/>
      </rPr>
      <t>Fowler</t>
    </r>
    <r>
      <rPr>
        <sz val="8"/>
        <rFont val="Times New Roman"/>
        <family val="1"/>
        <charset val="238"/>
      </rPr>
      <t>)</t>
    </r>
  </si>
  <si>
    <t>81836-02</t>
  </si>
  <si>
    <t>Демаскирање агравације и симулације наглувости</t>
  </si>
  <si>
    <t>81836-03</t>
  </si>
  <si>
    <t>Испитиванје говорног статуса и гласа батеријом тестова</t>
  </si>
  <si>
    <t>81838-03</t>
  </si>
  <si>
    <t>Испитивање говорног статуса и гласа батеријом тестова</t>
  </si>
  <si>
    <t>81845-02</t>
  </si>
  <si>
    <t>Позиционирајући тест</t>
  </si>
  <si>
    <t>81845-06</t>
  </si>
  <si>
    <t>Vestibulookularni testovi: "head impluse" i "head shaking" test</t>
  </si>
  <si>
    <t>81845-04</t>
  </si>
  <si>
    <t>Вестибулосинални тестови - Ромбергов (Ромберг), "паст поинтинг"</t>
  </si>
  <si>
    <t xml:space="preserve">81846-00 </t>
  </si>
  <si>
    <t>Риноалерголошкопреглед</t>
  </si>
  <si>
    <t xml:space="preserve">81846-01 </t>
  </si>
  <si>
    <t xml:space="preserve">Риноалерголошко испитивање стандардним респираторним алергенима </t>
  </si>
  <si>
    <t xml:space="preserve">81846-03 </t>
  </si>
  <si>
    <t>Риноалерголошко испитивање на стандардне нутритивне алергене</t>
  </si>
  <si>
    <t>81864-00</t>
  </si>
  <si>
    <t>Тест са аутологним серумом</t>
  </si>
  <si>
    <t>81864-01</t>
  </si>
  <si>
    <t>Дознопровокациони тестови у ин виво (ин виво) условима са лековима низак ризик</t>
  </si>
  <si>
    <t xml:space="preserve">81874-00 </t>
  </si>
  <si>
    <t xml:space="preserve"> Рехабилитациони третман дисфонија</t>
  </si>
  <si>
    <t>81874-01</t>
  </si>
  <si>
    <t>Рехабилитација ринолалија</t>
  </si>
  <si>
    <t xml:space="preserve">81874-02 </t>
  </si>
  <si>
    <t>Рехабилитација афонија</t>
  </si>
  <si>
    <t xml:space="preserve">81874-03 </t>
  </si>
  <si>
    <t xml:space="preserve"> Фонијатријске вежбе – вежбе дисања</t>
  </si>
  <si>
    <t xml:space="preserve">81874-04 </t>
  </si>
  <si>
    <t xml:space="preserve"> Фонијатријске вежбе – вежбе релаксације</t>
  </si>
  <si>
    <t xml:space="preserve">81874-05 </t>
  </si>
  <si>
    <t xml:space="preserve"> Фонијатријске вежбе – вежбе постављања гласа</t>
  </si>
  <si>
    <t xml:space="preserve">81874-06 </t>
  </si>
  <si>
    <t>Вежбе фонације</t>
  </si>
  <si>
    <t xml:space="preserve">81874-07 </t>
  </si>
  <si>
    <t>Вежбе артикулације</t>
  </si>
  <si>
    <t xml:space="preserve">81874-08 </t>
  </si>
  <si>
    <t>Артикулациони третман</t>
  </si>
  <si>
    <t>81874-09</t>
  </si>
  <si>
    <t>Корекциони третман поремећаја говора</t>
  </si>
  <si>
    <t xml:space="preserve">81874-13 </t>
  </si>
  <si>
    <t>Упутство за рад и савет родитељима детета оштећеног гласа</t>
  </si>
  <si>
    <t>81887-00</t>
  </si>
  <si>
    <t>Риноалерголошка терапија аутовакцином-појединачна</t>
  </si>
  <si>
    <t>81887-02</t>
  </si>
  <si>
    <t>Апликација лека у нос</t>
  </si>
  <si>
    <t xml:space="preserve">81887-04 </t>
  </si>
  <si>
    <t>Аспирација секрета из носа методом по Прецу (Proetz)</t>
  </si>
  <si>
    <t xml:space="preserve">81887-05 </t>
  </si>
  <si>
    <t>Продувавање тимпанофарингеалне тубе - Полицер (Politzer)</t>
  </si>
  <si>
    <t xml:space="preserve">81887-06 </t>
  </si>
  <si>
    <t>Каутеризација проширених вена носног кавума</t>
  </si>
  <si>
    <t>90111-00</t>
  </si>
  <si>
    <t>Остале процедуре на спољашњем уву</t>
  </si>
  <si>
    <t>90111-001</t>
  </si>
  <si>
    <t>Ампутација ушне шкољке</t>
  </si>
  <si>
    <t>90118-00</t>
  </si>
  <si>
    <t>Остале процедуре на унутрашњем уху</t>
  </si>
  <si>
    <t xml:space="preserve">90118-001 </t>
  </si>
  <si>
    <t>Инстилација лека кроз бубну опну у бубну дупљу</t>
  </si>
  <si>
    <t>90119-00</t>
  </si>
  <si>
    <t>Отоскопија</t>
  </si>
  <si>
    <t>90131-00</t>
  </si>
  <si>
    <t>Локална ексцизија осталих ендоназалних лезија</t>
  </si>
  <si>
    <t>90161-00</t>
  </si>
  <si>
    <t>Ексцизија осталих лезија на ларинксу</t>
  </si>
  <si>
    <t>Општи физикални преглед (мерење ТА, висине и тежине)</t>
  </si>
  <si>
    <t>92025-00</t>
  </si>
  <si>
    <t xml:space="preserve">92027-00 </t>
  </si>
  <si>
    <t xml:space="preserve"> Тампонада спољашњег слушног канала </t>
  </si>
  <si>
    <t xml:space="preserve">92030-00 </t>
  </si>
  <si>
    <t>Ретампонада носа</t>
  </si>
  <si>
    <t xml:space="preserve">92031-00 </t>
  </si>
  <si>
    <t>Детампонада носа</t>
  </si>
  <si>
    <t xml:space="preserve">92032-00 </t>
  </si>
  <si>
    <t xml:space="preserve">Уклањање страног тела из гркљана, без инцизије </t>
  </si>
  <si>
    <t>92037-00</t>
  </si>
  <si>
    <t xml:space="preserve"> Примена лека за респираторни систем помоћу небулизатора</t>
  </si>
  <si>
    <t xml:space="preserve">Замена каниле за трахеостомију </t>
  </si>
  <si>
    <t>92047-00</t>
  </si>
  <si>
    <t>Уклањање каниле за трехеостомију</t>
  </si>
  <si>
    <t>Савет или подучавање о бризи о самом себи</t>
  </si>
  <si>
    <t>Савет или подучавање о одржавању здравља и опоравку</t>
  </si>
  <si>
    <t>Уклањање импактираног фецеса</t>
  </si>
  <si>
    <t>92087-00</t>
  </si>
  <si>
    <t>Уклањање страног тела из уста без инцизије</t>
  </si>
  <si>
    <t>Испирање уретеростоме или уретералног катетера</t>
  </si>
  <si>
    <t>92101-00</t>
  </si>
  <si>
    <t>Испирање осталих трајних катетера мокраћне бешике</t>
  </si>
  <si>
    <t>92138-00</t>
  </si>
  <si>
    <t>Уклањање странеог тела са главе или врата без инцизије</t>
  </si>
  <si>
    <t>96011-00</t>
  </si>
  <si>
    <t>Процена гласа</t>
  </si>
  <si>
    <t>96021-00</t>
  </si>
  <si>
    <t>Процена самосталности</t>
  </si>
  <si>
    <t>96024-00</t>
  </si>
  <si>
    <t>Процена потребе за уређајем или опремом која служи као помоћ</t>
  </si>
  <si>
    <t xml:space="preserve">96052-00 </t>
  </si>
  <si>
    <t xml:space="preserve">Праг акустичког рефлекса </t>
  </si>
  <si>
    <t>96065-00</t>
  </si>
  <si>
    <t>Мерење или маскирање шума</t>
  </si>
  <si>
    <t>96068-00</t>
  </si>
  <si>
    <t>Саветовање или подучавање о губитку слуха или поремаћајима слуха</t>
  </si>
  <si>
    <t>96071-00</t>
  </si>
  <si>
    <t>Саветовање или подучавање о помагалима или уређајима за прилагођавање</t>
  </si>
  <si>
    <t>96090-00</t>
  </si>
  <si>
    <t>Оатала саветовања или подучавања</t>
  </si>
  <si>
    <t xml:space="preserve">96091-00 </t>
  </si>
  <si>
    <t xml:space="preserve">Израда уређаја или опреме за помоћ или прилагођавање </t>
  </si>
  <si>
    <t>96092-00</t>
  </si>
  <si>
    <t xml:space="preserve"> Примена, намештање, прилагођавање или замена помагала или уређаја за прилагођавање</t>
  </si>
  <si>
    <t>96097-00</t>
  </si>
  <si>
    <t>Ентерална нутритивна подршка</t>
  </si>
  <si>
    <t>96098-00</t>
  </si>
  <si>
    <t>Перентерална нутритивна подршка</t>
  </si>
  <si>
    <t xml:space="preserve">96112-00 </t>
  </si>
  <si>
    <t xml:space="preserve">Увежбавање вештина у активностима повезаним са сензорном /сензо-моторном/сензо-неуралном функцијом </t>
  </si>
  <si>
    <t xml:space="preserve">96134-00 </t>
  </si>
  <si>
    <t xml:space="preserve">Увежбавање гласа </t>
  </si>
  <si>
    <t xml:space="preserve">96135-00 </t>
  </si>
  <si>
    <t xml:space="preserve">Увежбавање вештина говора </t>
  </si>
  <si>
    <t xml:space="preserve">96136-00 </t>
  </si>
  <si>
    <t>Увежбавање вештина течног говора</t>
  </si>
  <si>
    <t xml:space="preserve">96157-00 </t>
  </si>
  <si>
    <t>96197-06</t>
  </si>
  <si>
    <t>Интрамускуларно давање фармаколошког средства,инсулин</t>
  </si>
  <si>
    <t>Интрамускуларно давање фармаколошког средства, храњива супстанца</t>
  </si>
  <si>
    <t>96202-07</t>
  </si>
  <si>
    <t>Ентерално давање фармаколошког средства, храњива супстанца</t>
  </si>
  <si>
    <t>96202-08</t>
  </si>
  <si>
    <t>Ентерално давање фармаколошког средства, електолити</t>
  </si>
  <si>
    <t xml:space="preserve">Орално давање фармаколошког средства, стероид </t>
  </si>
  <si>
    <t>96203-04</t>
  </si>
  <si>
    <t>Орално давање фармаколошког средства, антидот</t>
  </si>
  <si>
    <t>96206-06</t>
  </si>
  <si>
    <t>Неназначен начин давања фармаколошког средства, инсулин</t>
  </si>
  <si>
    <t>L009266</t>
  </si>
  <si>
    <t>Кетонска тела (ацетон) у урину</t>
  </si>
  <si>
    <t>Напомена: план је је већи код појединих услуга у односу на реализацију јер у претходној години исте услуге нису фактурисане грешком људског фактора.</t>
  </si>
  <si>
    <t>090055</t>
  </si>
  <si>
    <t>Експертиза-давање налаза и мишљења од стране три вештака у компликованим случајевима</t>
  </si>
  <si>
    <t>Израда индивидуалних извештаја (Извештаји о хоспитализацији, пријава порођаја, пријава побачаја, потврда о смрти, пријава заразне болести, пријава малигног обољења и друго)</t>
  </si>
  <si>
    <t>Пријаве сумње на заразно обољење</t>
  </si>
  <si>
    <t>Збирна пријава заразних болести</t>
  </si>
  <si>
    <t>30186-00</t>
  </si>
  <si>
    <t>Уклањање брадавице са табана</t>
  </si>
  <si>
    <t>30186-01</t>
  </si>
  <si>
    <t>Уклањање брадавице са длана</t>
  </si>
  <si>
    <t>30189-00</t>
  </si>
  <si>
    <t>Уклањање молуске (molluscum contagiosum)</t>
  </si>
  <si>
    <t>30192-00</t>
  </si>
  <si>
    <t>Остале деструкције лезија на кожи</t>
  </si>
  <si>
    <t>30195-00</t>
  </si>
  <si>
    <t>Киретажа лезије на кожи, појединачна лезија</t>
  </si>
  <si>
    <t xml:space="preserve">30195-01 </t>
  </si>
  <si>
    <t>Киретажа лезије на кожи, вишеструке лезије</t>
  </si>
  <si>
    <t>30195-04</t>
  </si>
  <si>
    <t>Криотерапија лезија на кожи, појединачна лезија</t>
  </si>
  <si>
    <t>30195-05</t>
  </si>
  <si>
    <t>Криотерапија лезија на кожи, вишеструке лезије</t>
  </si>
  <si>
    <t>36200-06</t>
  </si>
  <si>
    <t>30207-00</t>
  </si>
  <si>
    <t>Примена средства у лезијама на кожи</t>
  </si>
  <si>
    <t>Одстрањење кондилома аналног канала и перианалне регије</t>
  </si>
  <si>
    <t>Катетеризација мокраћне бешике - кроз уретру</t>
  </si>
  <si>
    <t>81820-00</t>
  </si>
  <si>
    <t>Дермоскопски преглед једне лезије*</t>
  </si>
  <si>
    <t>81820-01</t>
  </si>
  <si>
    <t>Дермоскопски прегледвише лезија*</t>
  </si>
  <si>
    <t xml:space="preserve">81880-00 </t>
  </si>
  <si>
    <t>Третман Биоптрон лампом</t>
  </si>
  <si>
    <t>Катетеризацуја  осталих вена</t>
  </si>
  <si>
    <t>90660-00</t>
  </si>
  <si>
    <t>Примена средства у кожи и поткожном ткиву</t>
  </si>
  <si>
    <t>Остале терапије обогаћивања кисеоника/ом</t>
  </si>
  <si>
    <t>92052-00</t>
  </si>
  <si>
    <t xml:space="preserve">96018-00 </t>
  </si>
  <si>
    <t>Процена васкуларног система</t>
  </si>
  <si>
    <t xml:space="preserve">96020-00 </t>
  </si>
  <si>
    <t>96062-00</t>
  </si>
  <si>
    <t>Траансфузија крвних компоненти и деривата</t>
  </si>
  <si>
    <t xml:space="preserve">96022-00 </t>
  </si>
  <si>
    <t xml:space="preserve">Процена одржавања здравља или опоравка </t>
  </si>
  <si>
    <t xml:space="preserve">96027-00 </t>
  </si>
  <si>
    <t xml:space="preserve">Процена узимања прописаних лекова </t>
  </si>
  <si>
    <t xml:space="preserve">96072-00 </t>
  </si>
  <si>
    <t xml:space="preserve"> Саветовање или подучавање о прописаним/самоизабраним лековима</t>
  </si>
  <si>
    <t xml:space="preserve">96076-00 </t>
  </si>
  <si>
    <t xml:space="preserve"> Саветовање или подучавање о одржавању здравља и опоравку </t>
  </si>
  <si>
    <t>Субкутано давање фармаколошког средства</t>
  </si>
  <si>
    <t>Орално давање фармаколошког средства, антиинфективно средство</t>
  </si>
  <si>
    <t>Неки други начин давања анти инфективног средства</t>
  </si>
  <si>
    <t>Узимање  биолошког материјала  за микролошки преглед</t>
  </si>
  <si>
    <t>11500-00</t>
  </si>
  <si>
    <t>Бронхоспирометрија</t>
  </si>
  <si>
    <t xml:space="preserve">11503-12 </t>
  </si>
  <si>
    <t>Мерење тоталног плућног волумена</t>
  </si>
  <si>
    <t xml:space="preserve">11506-00 </t>
  </si>
  <si>
    <t>Остала мерења респираторне функције</t>
  </si>
  <si>
    <t>11615-00</t>
  </si>
  <si>
    <t>Мерење периферне температуре (на прсту)</t>
  </si>
  <si>
    <t>11900-00</t>
  </si>
  <si>
    <t>Мерење протока урина</t>
  </si>
  <si>
    <t>Узимање материјала са коже и видљивих слузокожа за микробиолошки ,бактер.и цитолошки преглед</t>
  </si>
  <si>
    <t>13750-06</t>
  </si>
  <si>
    <t xml:space="preserve"> Остале терапијске хемаферезе </t>
  </si>
  <si>
    <t>Интраатеријска канилација за гасну анализу крви</t>
  </si>
  <si>
    <t>Дезинфекција просторија замаглјиванјем; по објекту</t>
  </si>
  <si>
    <t>38424-02</t>
  </si>
  <si>
    <t>Плеурдеза</t>
  </si>
  <si>
    <t>38800-00</t>
  </si>
  <si>
    <t>Дијагностичка торакоцентеза</t>
  </si>
  <si>
    <t>38803-00</t>
  </si>
  <si>
    <t>Терапијска торакоцентеза</t>
  </si>
  <si>
    <t>41898-00</t>
  </si>
  <si>
    <t>Фибероптичка бронхоскопија</t>
  </si>
  <si>
    <t>41898-01</t>
  </si>
  <si>
    <t>Фибероптичка бронхоскопија са биопсијом</t>
  </si>
  <si>
    <t xml:space="preserve">81849-00 </t>
  </si>
  <si>
    <t>Континуирано амбулаторно мерење гликемије накнадног и истовременог очитавања</t>
  </si>
  <si>
    <t xml:space="preserve">81864-04 </t>
  </si>
  <si>
    <t>Тестови позне преосетљивости</t>
  </si>
  <si>
    <t>92036-00</t>
  </si>
  <si>
    <t>Пласирање назогастричне сонде</t>
  </si>
  <si>
    <t xml:space="preserve">96067-00 </t>
  </si>
  <si>
    <t xml:space="preserve">96071-00 </t>
  </si>
  <si>
    <t xml:space="preserve">Саветовање или подучавање о помагалима или уређајима за прилагођавање </t>
  </si>
  <si>
    <t>Саветовање или подучавање о прописаним/самоизабраним лековима</t>
  </si>
  <si>
    <t xml:space="preserve">96073-00 </t>
  </si>
  <si>
    <t>Саветовање или подучавање о штетности супстанци које узрокују зависност</t>
  </si>
  <si>
    <t xml:space="preserve">Саветовање или подучавање о одржавању здравља и опоравку </t>
  </si>
  <si>
    <t>Дренажа респираторног система, без инцизије</t>
  </si>
  <si>
    <t>Орално давање фармаколошког средства,тромболитичко средство</t>
  </si>
  <si>
    <t xml:space="preserve">L000026 </t>
  </si>
  <si>
    <t>Узорковање крви (венепункција)</t>
  </si>
  <si>
    <t>L000075</t>
  </si>
  <si>
    <t>Acidobayni status *pH, pO2, pCO2( u krvi</t>
  </si>
  <si>
    <t>L010421</t>
  </si>
  <si>
    <t>Мерење запремине 24х-урина, дневног урина</t>
  </si>
  <si>
    <t>СЛИС-Гасне а.</t>
  </si>
  <si>
    <t>Гасне а. (кап)</t>
  </si>
  <si>
    <t>Праћење систематског артеријског притиска</t>
  </si>
  <si>
    <t>Бронходилтаторни тест</t>
  </si>
  <si>
    <t>Ацидобазни статус (pH, pO2, pCO2) у крви</t>
  </si>
  <si>
    <t>УКУПНО УСЛУГЕ ОСТАЛЕ</t>
  </si>
  <si>
    <r>
      <rPr>
        <b/>
        <sz val="11"/>
        <color theme="1"/>
        <rFont val="Calibri"/>
        <family val="2"/>
        <scheme val="minor"/>
      </rPr>
      <t xml:space="preserve">Образложење: </t>
    </r>
    <r>
      <rPr>
        <sz val="10"/>
        <rFont val="HelveticaPlain"/>
      </rPr>
      <t>До веће реализације дошло је услед нереалног планирања услуга а због нетачног и непотпуног фактурисања у претходној години; а делом због промене патологије болести (великог броја карцинома; ХОБП-а, као и повећаног броја тешких и непокретних болесника.</t>
    </r>
  </si>
  <si>
    <t>30084-00</t>
  </si>
  <si>
    <t>Перкутана биопсија коштане сржи, иглом (метода Јамашиди (Jamashidi))</t>
  </si>
  <si>
    <t>30087-00</t>
  </si>
  <si>
    <t>Аспирациона пункција коштане сржи</t>
  </si>
  <si>
    <t>Интрмускуларно давање фармаколошког средства, друго и неназначено фармаколошко средство</t>
  </si>
  <si>
    <t xml:space="preserve">30094-00 </t>
  </si>
  <si>
    <t>Перкутана биопсија меких ткива (иглом)</t>
  </si>
  <si>
    <t>30094-10</t>
  </si>
  <si>
    <t>Перкутана [помоћу игле] биопсија тироидне жлезде</t>
  </si>
  <si>
    <t>95550-14</t>
  </si>
  <si>
    <t>Удружене здравствене процедуре, едукација о дијабетесу</t>
  </si>
  <si>
    <t xml:space="preserve">30406-00 </t>
  </si>
  <si>
    <t xml:space="preserve">Абдоминална парацентеза </t>
  </si>
  <si>
    <t xml:space="preserve">30473-00 </t>
  </si>
  <si>
    <t>Панендоскопија до дуоденума</t>
  </si>
  <si>
    <t xml:space="preserve">30473-01 </t>
  </si>
  <si>
    <t>Панендоскопија до дуоденума са биопсијом</t>
  </si>
  <si>
    <t>30473-04</t>
  </si>
  <si>
    <t>Езофагоскопија са биопсијом</t>
  </si>
  <si>
    <t xml:space="preserve">30478-00 </t>
  </si>
  <si>
    <t xml:space="preserve">Панендоскопија до дуоденума са одстрањењем страног тела </t>
  </si>
  <si>
    <t>30478-07</t>
  </si>
  <si>
    <t xml:space="preserve"> Ендоскопска скелрозација лезије желуца или дуоденума </t>
  </si>
  <si>
    <t>32075-00</t>
  </si>
  <si>
    <t>Ригидна ректосигмоидоскопија</t>
  </si>
  <si>
    <t xml:space="preserve">32075-01 </t>
  </si>
  <si>
    <t>Ригидна ректосигмоидоскопија са биопсијом</t>
  </si>
  <si>
    <t xml:space="preserve">32084-00 </t>
  </si>
  <si>
    <t>Фибероптичка колоноскопија до хепатичке флексуре</t>
  </si>
  <si>
    <t xml:space="preserve">32084-01 </t>
  </si>
  <si>
    <t>Фибероптичка колоноскопија до хепатичке флексуре са биопсијом</t>
  </si>
  <si>
    <t xml:space="preserve">32087-00 </t>
  </si>
  <si>
    <t>Фибероптичка колоноскопија до хепатичке флексуре са полипектомијом</t>
  </si>
  <si>
    <t xml:space="preserve">32090-00 </t>
  </si>
  <si>
    <t>Фибероптичка колоноскопија до цекума</t>
  </si>
  <si>
    <t xml:space="preserve">32090-01 </t>
  </si>
  <si>
    <t xml:space="preserve"> Фибероптичка колоноскопија до цекума са биопсијом</t>
  </si>
  <si>
    <t xml:space="preserve">32093-00 </t>
  </si>
  <si>
    <t>Фибероптичка колоноскопија до цекума са полипектомијом</t>
  </si>
  <si>
    <t>32171-00</t>
  </si>
  <si>
    <t>Аноректални преглед</t>
  </si>
  <si>
    <t xml:space="preserve"> УСЛУГЕ ОРГАНИЗОВАНОГ СКРИНИНГА РАКА**</t>
  </si>
  <si>
    <t>Фибероптичка колоноскопија до цекума SKRINING UZ ATRIBUT 24*</t>
  </si>
  <si>
    <t>Фибероптичка колоноскопија до цекума са полипектомијом  SKRINING UZ ATRIBUT 24*</t>
  </si>
  <si>
    <t xml:space="preserve"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 </t>
  </si>
  <si>
    <t>Напомена: Гастроентеролошки одсек - 9 месеци 2017. године радио је са једним (1) лекаром; па из тог разлога  извршење не прати План. План за 2018. годину остаје на нивоу 2017. године.</t>
  </si>
  <si>
    <t>50124-01</t>
  </si>
  <si>
    <t>Ињекција у зглоб или неку другу синовијску шупљину, некласификовану на другом месту</t>
  </si>
  <si>
    <t>11709-00</t>
  </si>
  <si>
    <t>Холтер амбулантно континуирано ЕКГ снимање</t>
  </si>
  <si>
    <t>11711-00</t>
  </si>
  <si>
    <t>Амбулантни ЕКГ активиран од стране пацијента, снимање најмање 30 секунди после сваког активирања</t>
  </si>
  <si>
    <t xml:space="preserve">11712-00 </t>
  </si>
  <si>
    <t>Кардиоваскуларни стрес тест –тест оптерећења</t>
  </si>
  <si>
    <t>55113-00</t>
  </si>
  <si>
    <t>М-приказ и дводимензионални ултразвучни преглед срца у реалном времену</t>
  </si>
  <si>
    <t>Ултразвук дуплекс преглед вена доњих екстремитета</t>
  </si>
  <si>
    <t>Ултразвучни преглед вена горњих екстремитета, унилатерални</t>
  </si>
  <si>
    <t>55252-01</t>
  </si>
  <si>
    <t>Ултразвук дуплекс преглед вена горњих екстремитета</t>
  </si>
  <si>
    <t>11708-00</t>
  </si>
  <si>
    <t>Амбулантно континуирано ЕКГ снимање</t>
  </si>
  <si>
    <t>13400-00</t>
  </si>
  <si>
    <t>Кардиоверзија</t>
  </si>
  <si>
    <t>Катетеризација /канилација осталих вена</t>
  </si>
  <si>
    <t>96034-00</t>
  </si>
  <si>
    <t>Процена узимања алкохола и осталих дрога</t>
  </si>
  <si>
    <t>Дренажа ресираторног система, без инцизије</t>
  </si>
  <si>
    <t>Интравенско давање фармаколошког средства, тромболитичко  средство</t>
  </si>
  <si>
    <t>Интравенско давање фармаколошког средства антидот</t>
  </si>
  <si>
    <t>Орално давање фармаколошког средства,анти-инфективно</t>
  </si>
  <si>
    <t xml:space="preserve">Орално давање фармаколошког средства, drugo и некласификовано фармаколошко средство </t>
  </si>
  <si>
    <t>ОСТАЛЕ УСЛУГЕ</t>
  </si>
  <si>
    <t>ОДЕЉЕЊЕ ЗА ХОСПИТАЛИЗАЦИЈУ ПАЦИЈЕНАТА</t>
  </si>
  <si>
    <t>11503-12</t>
  </si>
  <si>
    <t>11506-00</t>
  </si>
  <si>
    <t>11600-00</t>
  </si>
  <si>
    <t>Праћење крвног притиска у срчаним шупљинама</t>
  </si>
  <si>
    <t xml:space="preserve">11709-00 </t>
  </si>
  <si>
    <t xml:space="preserve">Холтер амбулантно континуирано ЕКГ снимање </t>
  </si>
  <si>
    <t xml:space="preserve">13706-04 </t>
  </si>
  <si>
    <t xml:space="preserve"> Трансфузија леукоцита</t>
  </si>
  <si>
    <t>13757-00</t>
  </si>
  <si>
    <t>Терапијска венесекција</t>
  </si>
  <si>
    <t>260073</t>
  </si>
  <si>
    <t xml:space="preserve">Епидемиолошки надзор над клицоношама одређених заразних  болести </t>
  </si>
  <si>
    <t>260081</t>
  </si>
  <si>
    <t>Епидемиолошки надзор над болничком инфекцијом путем инциденције</t>
  </si>
  <si>
    <t>260093</t>
  </si>
  <si>
    <t>Дезинфекција отворених површина:по територији</t>
  </si>
  <si>
    <t>Дезинфекција санитетских кола</t>
  </si>
  <si>
    <t>90203-06</t>
  </si>
  <si>
    <t>Подешавање дефибрилатора</t>
  </si>
  <si>
    <t>Одржавање катетера пласираног ради администрације лека</t>
  </si>
  <si>
    <t>92077-00</t>
  </si>
  <si>
    <t>Остала испирања ректума</t>
  </si>
  <si>
    <t xml:space="preserve"> Испирање уретеростоме или уретералног катетера</t>
  </si>
  <si>
    <t>Уклањање катетера уртеростоме или уретералног катетера</t>
  </si>
  <si>
    <t>Интрамускуларно давање фармаколошког средства,антидот</t>
  </si>
  <si>
    <t>96209-00</t>
  </si>
  <si>
    <t>Пуњење уређаја за давање лека, антинеопластичко средство</t>
  </si>
  <si>
    <t>Узимање биолошког материјала   за микробиолошки преглед</t>
  </si>
  <si>
    <t>Узимање биолошког материјала   за микробиолошки преглед у транспортну подлогу</t>
  </si>
  <si>
    <t>УСЛУГЕ ДНЕВНЕ БОЛНИЦЕ</t>
  </si>
  <si>
    <t>11712-00</t>
  </si>
  <si>
    <t>Остале терапијске хемаферезе</t>
  </si>
  <si>
    <t>Интравенско давање фармаколошког средства, антиинфективно средство</t>
  </si>
  <si>
    <t>Интравенско давање фармаколошког средства, стероидо</t>
  </si>
  <si>
    <t>УКУПНО ДНЕВНА БОЛНИЦА</t>
  </si>
  <si>
    <t>УКУПНО ОДСЕЦИ</t>
  </si>
  <si>
    <t xml:space="preserve"> СВЕ УСЛУГЕ УКУПНО</t>
  </si>
  <si>
    <t>УКУПНО СКРИНИНГ</t>
  </si>
  <si>
    <t>УКУПНО све услуге:</t>
  </si>
  <si>
    <t>320810</t>
  </si>
  <si>
    <t>Електротерапија у новорођенчета и одојчета</t>
  </si>
  <si>
    <t>320811</t>
  </si>
  <si>
    <t xml:space="preserve">Кинезитерапија у новорођенчета и одојчета </t>
  </si>
  <si>
    <t>600011</t>
  </si>
  <si>
    <t>Електростимулација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</si>
  <si>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</si>
  <si>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</si>
  <si>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</si>
  <si>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</si>
  <si>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</si>
  <si>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</si>
  <si>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600021</t>
  </si>
  <si>
    <t>Субаквални ултразвук</t>
  </si>
  <si>
    <t>600022</t>
  </si>
  <si>
    <t>Сонофореза</t>
  </si>
  <si>
    <t>600023</t>
  </si>
  <si>
    <t>Електромагнетно поље</t>
  </si>
  <si>
    <t>600051</t>
  </si>
  <si>
    <t>Хидро-кинези терапија</t>
  </si>
  <si>
    <t>600071</t>
  </si>
  <si>
    <t>Апликација парафина по сегменту</t>
  </si>
  <si>
    <t>600101</t>
  </si>
  <si>
    <t>Екстензија кичменог стуба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</si>
  <si>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</si>
  <si>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</si>
  <si>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</si>
  <si>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</si>
  <si>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</si>
  <si>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</si>
  <si>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600113</t>
  </si>
  <si>
    <t>Вежбе по Алан Бургер-у (Allan Burger)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</si>
  <si>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</si>
  <si>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</si>
  <si>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</si>
  <si>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</si>
  <si>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</si>
  <si>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</si>
  <si>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600117</t>
  </si>
  <si>
    <t>Вежбе за М.Бехтeрев (Bechterew)</t>
  </si>
  <si>
    <t>600120</t>
  </si>
  <si>
    <t>Активне сегментне вежбе са отпором</t>
  </si>
  <si>
    <t>Пасивне сегментне вежбе</t>
  </si>
  <si>
    <t>600123</t>
  </si>
  <si>
    <t>600124</t>
  </si>
  <si>
    <t>Вежбе на справама или ергобициклу</t>
  </si>
  <si>
    <t>600173</t>
  </si>
  <si>
    <t>Вежбе пацијената са параплегијом или хемиплегијом</t>
  </si>
  <si>
    <t>600331</t>
  </si>
  <si>
    <t>Ласер по акупунктурним тачкама</t>
  </si>
  <si>
    <t>600333</t>
  </si>
  <si>
    <t>Препротетичка припрема особе са ампутацијом руке</t>
  </si>
  <si>
    <t>600335</t>
  </si>
  <si>
    <t>Непостредна постоперативна рехабилитација особе са ампутацијом доњег екстремитета</t>
  </si>
  <si>
    <t>600336</t>
  </si>
  <si>
    <t xml:space="preserve">Препротетичка припрема особе са ампутацијом доњег екстремитета </t>
  </si>
  <si>
    <t>600337</t>
  </si>
  <si>
    <t>Протетичка етапа рехабилитације особе са ампутацијом доњег екстремитета</t>
  </si>
  <si>
    <t>600339</t>
  </si>
  <si>
    <t>Рана рехабилитација након абдоминалних хируршких интервенција</t>
  </si>
  <si>
    <t>600341</t>
  </si>
  <si>
    <t>Рана рехабилитација новорођенчета рођеног у термину, на акушерском одељењу</t>
  </si>
  <si>
    <t>600348</t>
  </si>
  <si>
    <t>Електрофореза лека</t>
  </si>
  <si>
    <t>600351</t>
  </si>
  <si>
    <t>Вежбе код деформитета кичменог стуба код деце</t>
  </si>
  <si>
    <t>600802</t>
  </si>
  <si>
    <t>Индивидуални рад при хоспиталном лечењу сколиозе и кифоза</t>
  </si>
  <si>
    <t>600803</t>
  </si>
  <si>
    <t>Индивидуални рад са геријатријским ортопедским болесницима</t>
  </si>
  <si>
    <t>600805</t>
  </si>
  <si>
    <t>Преоперативни и рани пре и постоперативни третман код пацијената на ортопедском одељењу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</si>
  <si>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</si>
  <si>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</si>
  <si>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600810</t>
  </si>
  <si>
    <t>Преоперативни и рани рехабилитациони третман пацијената након операције на крвним судовима екстремитета</t>
  </si>
  <si>
    <t>Рани рехабилитациони третман пацијената у акутним неуролошким/неурохируршким стањима</t>
  </si>
  <si>
    <t>92178-00</t>
  </si>
  <si>
    <t>Терапија топлотом</t>
  </si>
  <si>
    <t>Остале процене, консултације или евалуације</t>
  </si>
  <si>
    <t xml:space="preserve">96115-00 </t>
  </si>
  <si>
    <t>Терапија мишића лица/темпоромандибуларног зглоба вежбањем</t>
  </si>
  <si>
    <t xml:space="preserve">96118-00 </t>
  </si>
  <si>
    <t>Терапија раменог зглоба вежбањем</t>
  </si>
  <si>
    <t xml:space="preserve">96119-00 </t>
  </si>
  <si>
    <t xml:space="preserve"> Терапија грудних или трбушних мишића вежбањем</t>
  </si>
  <si>
    <t xml:space="preserve">96120-00 </t>
  </si>
  <si>
    <t>Терапија мишића леђа или врата вежбањем</t>
  </si>
  <si>
    <t xml:space="preserve">96121-00 </t>
  </si>
  <si>
    <t>Терапија мишића руку вежбањем</t>
  </si>
  <si>
    <t xml:space="preserve">96122-00 </t>
  </si>
  <si>
    <t xml:space="preserve"> Терапија лакатног зглоба вежбањем </t>
  </si>
  <si>
    <t xml:space="preserve">96123-00 </t>
  </si>
  <si>
    <t>Терапија мишића руку, ручног зглоба или зглобова прстију вежбањем</t>
  </si>
  <si>
    <t xml:space="preserve">96124-00 </t>
  </si>
  <si>
    <t>Терапија зглоба кука вежбањем</t>
  </si>
  <si>
    <t>96125-00</t>
  </si>
  <si>
    <t>Терапија мишића карличног дна вежбањем</t>
  </si>
  <si>
    <t xml:space="preserve">96126-00 </t>
  </si>
  <si>
    <t>Терапија мишића ногу вежбањем</t>
  </si>
  <si>
    <t xml:space="preserve">96127-00 </t>
  </si>
  <si>
    <t xml:space="preserve">Терапија зглоба колена вежбањем </t>
  </si>
  <si>
    <t xml:space="preserve">96128-00 </t>
  </si>
  <si>
    <t>Терапија мишића стопала, ножног зглоба или зглобова прстију вежбањем</t>
  </si>
  <si>
    <t xml:space="preserve">96129-00 </t>
  </si>
  <si>
    <t>Терапија целог тела вежбањем</t>
  </si>
  <si>
    <t xml:space="preserve">96130-00 </t>
  </si>
  <si>
    <t xml:space="preserve"> Увежбавање вештина у активностима повезаним са положајем тела/мобилношћу/покретом </t>
  </si>
  <si>
    <t xml:space="preserve">96131-00 </t>
  </si>
  <si>
    <t xml:space="preserve">Увежбавање вештина у активностима повезаним са премештањем </t>
  </si>
  <si>
    <t>96134-00</t>
  </si>
  <si>
    <t>Увежбавање гласа</t>
  </si>
  <si>
    <t xml:space="preserve"> Вежбе дисања у лечењу болести респираторног система </t>
  </si>
  <si>
    <t xml:space="preserve">96154-00 </t>
  </si>
  <si>
    <t>Терапијски ултразвук</t>
  </si>
  <si>
    <t xml:space="preserve">96155-00 </t>
  </si>
  <si>
    <t xml:space="preserve"> Терапија стимулацијом, некласификована на другом месту</t>
  </si>
  <si>
    <t xml:space="preserve">96159-00 </t>
  </si>
  <si>
    <t xml:space="preserve"> Тестирање опсега покрета/мишића специјализованом опремом </t>
  </si>
  <si>
    <t>96162-00</t>
  </si>
  <si>
    <t>Терапеутска масажа или манипулација везивног/меког ткива, некласификованог на другом месту</t>
  </si>
  <si>
    <t>СЛУЖБА ЗА ПРИЈЕМ И ЗБРИЊАВАЊЕ УРГЕНТНИХ СТАЊА</t>
  </si>
  <si>
    <t>Репозиција луксиране доње вилице</t>
  </si>
  <si>
    <t xml:space="preserve">14200-00 </t>
  </si>
  <si>
    <t>Израда извештаја индивидуалних -потврда осмрти</t>
  </si>
  <si>
    <t>Дезинфекција просторија замагљивањем:по објекту</t>
  </si>
  <si>
    <t>Превијање опекотине, мање од 10% површине тела је превијено</t>
  </si>
  <si>
    <t>Репарација ране на кожи и поткожном ткиву осталих области, површинскa</t>
  </si>
  <si>
    <t xml:space="preserve">30235-00 </t>
  </si>
  <si>
    <t>Репарација руптурираног мишића, некласификована на другом месту</t>
  </si>
  <si>
    <t>30676-00</t>
  </si>
  <si>
    <t>Инцизија пилонидалног синуса или цисте</t>
  </si>
  <si>
    <t>37420-00</t>
  </si>
  <si>
    <t>Подвезивање вене</t>
  </si>
  <si>
    <t>44376-00</t>
  </si>
  <si>
    <t>Реампутација ампутацијског патрљка</t>
  </si>
  <si>
    <t>45206-06</t>
  </si>
  <si>
    <t>Јдноставан и мали локални режањ коже палца</t>
  </si>
  <si>
    <t>45206-07</t>
  </si>
  <si>
    <t>Јдноставан и мали локални режањ коже прста шаке</t>
  </si>
  <si>
    <t xml:space="preserve">46420-00 </t>
  </si>
  <si>
    <t>Примарна репарација тетиве екстензора шаке</t>
  </si>
  <si>
    <t>46465-00</t>
  </si>
  <si>
    <t>Ампутација прста</t>
  </si>
  <si>
    <t>46516-01</t>
  </si>
  <si>
    <t>Уклањање нокта на прсту шаке</t>
  </si>
  <si>
    <t>46525-00</t>
  </si>
  <si>
    <t xml:space="preserve">Инцизија и дренажа код паронихија шаке </t>
  </si>
  <si>
    <t>47906-01</t>
  </si>
  <si>
    <t>Уклањање  нокта на прсту  стопала</t>
  </si>
  <si>
    <t xml:space="preserve">50130-00 </t>
  </si>
  <si>
    <t>Примена спољашњег фиксатора, некласификована на другом месту</t>
  </si>
  <si>
    <t>81858-22</t>
  </si>
  <si>
    <t>Одређивање степена оксидације енергетских материјала индиректном калориметријом</t>
  </si>
  <si>
    <t>90582-01</t>
  </si>
  <si>
    <t>Ушивање тетиве, некласификовано на другом месту</t>
  </si>
  <si>
    <t>90582-02</t>
  </si>
  <si>
    <t>Ушивање мишића или фасције,некласификовано на другом месту</t>
  </si>
  <si>
    <t xml:space="preserve">92056-00 </t>
  </si>
  <si>
    <t>Посматрање ефективног рада срца или крвног протока, некласификовано на другом месту -MONITORING</t>
  </si>
  <si>
    <t>92071-00</t>
  </si>
  <si>
    <t>Мануелна редукција херније</t>
  </si>
  <si>
    <t xml:space="preserve">92204-001 </t>
  </si>
  <si>
    <t xml:space="preserve">Инфилтрација локалног анестетика, AСA 29 </t>
  </si>
  <si>
    <t>Процена узимања алкохола и осталих дрога (лекова)</t>
  </si>
  <si>
    <t>96091-00</t>
  </si>
  <si>
    <t>96205-08</t>
  </si>
  <si>
    <t>Неки други начин давања фармаколошког средства, електролит</t>
  </si>
  <si>
    <t>Образложење: Нешто нижа реализација последица је немогућности 100% планирати услуге наведене службе.</t>
  </si>
  <si>
    <t>42551-012</t>
  </si>
  <si>
    <t>Примарна обрада корнеалне пенетрантне ране очне јабучице</t>
  </si>
  <si>
    <t xml:space="preserve">42551-013 </t>
  </si>
  <si>
    <t>Примарна обрада склералне пенетрантне ране очне јабучице</t>
  </si>
  <si>
    <t xml:space="preserve">42551-014 </t>
  </si>
  <si>
    <t>Примарна обрада корнео-склералне пенетрантне ране очне јабучице</t>
  </si>
  <si>
    <t xml:space="preserve">42551-015 </t>
  </si>
  <si>
    <t xml:space="preserve"> Примарна обрада пенетрантне ране очне јабучице са пролапсом увеалног ткива</t>
  </si>
  <si>
    <t>42560-00</t>
  </si>
  <si>
    <t>Уклањање интраокуларног страног тела из предње коморе магнетом</t>
  </si>
  <si>
    <t>42686-00</t>
  </si>
  <si>
    <t>Ексцизија птеригијума</t>
  </si>
  <si>
    <t>42698-01</t>
  </si>
  <si>
    <t>Екстракапсуларна екстракција природног сочива техником једноставне аспирације (и иригације)</t>
  </si>
  <si>
    <t>42698-02</t>
  </si>
  <si>
    <t>Екстракапсуларна екстракција природног сочива факоемулзификацијом и аспирацијом катаракте</t>
  </si>
  <si>
    <t>42701-00</t>
  </si>
  <si>
    <t>Уградња савитљивог вештачког интраокуларног сочива</t>
  </si>
  <si>
    <t>42701-01</t>
  </si>
  <si>
    <t>Уградња осталих типова вештачких интраокуларних сочива</t>
  </si>
  <si>
    <t>42702-01</t>
  </si>
  <si>
    <t>Интракапсуларна екстракција природног сочива са инсерцијом осталих вештачких сочива</t>
  </si>
  <si>
    <t>42702-02</t>
  </si>
  <si>
    <t>Екстракапсуларна екстракција природног сочива техником једноставне аспирације (и иригације) са инсерцијом савитљивог вештачких сочива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</si>
  <si>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</si>
  <si>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Екстракапсуларна екстракција природног сочива факоемулзификацијом и аспирацијом катаракте са инсерцијом савитљивог вештачког сочива</t>
  </si>
  <si>
    <t>42702-05</t>
  </si>
  <si>
    <t>Екстракапсуларна екстракција природног сочива факоемулзификацијом и аспирацијом катаракте са инсерцијом осталих вештачких сочива</t>
  </si>
  <si>
    <t>42704-00</t>
  </si>
  <si>
    <t>Уклањање вештачког сочива</t>
  </si>
  <si>
    <t>42704-01</t>
  </si>
  <si>
    <t>Репозиција вештачког сочива</t>
  </si>
  <si>
    <t>42722-01</t>
  </si>
  <si>
    <t>Уклањање стакластог тела са раздвајањем витреалних трака (стакластог тела)</t>
  </si>
  <si>
    <t>42743-00</t>
  </si>
  <si>
    <t>Иригација предње коморе</t>
  </si>
  <si>
    <t>42746-02</t>
  </si>
  <si>
    <t>Трепанација беоњаче са иридектомијом</t>
  </si>
  <si>
    <t>42746-04</t>
  </si>
  <si>
    <t>Трабекулектомија</t>
  </si>
  <si>
    <t>42764-02</t>
  </si>
  <si>
    <t>Сфинктеротомија дужице</t>
  </si>
  <si>
    <t>42833-00</t>
  </si>
  <si>
    <t>Операција страбизма који обухвата 1 или 2 мишића, једног ока</t>
  </si>
  <si>
    <t xml:space="preserve">42833-01 </t>
  </si>
  <si>
    <t>Операција страбизма који обухвата 1 или 2 мишића, оба ока</t>
  </si>
  <si>
    <t>42857-00</t>
  </si>
  <si>
    <t xml:space="preserve">Поновно ушивање оперативне ране коме је претходила интраокуларна процедура </t>
  </si>
  <si>
    <t>42857-01</t>
  </si>
  <si>
    <t>Поновно ушивање оперативне ране коме је претходила интраокуларна процедура са ексцизијом пролабиране дужице</t>
  </si>
  <si>
    <t>45626-00</t>
  </si>
  <si>
    <t>Корекција ектропиона или ентропиона техником шавова</t>
  </si>
  <si>
    <t>45626-01</t>
  </si>
  <si>
    <t>Корекција ектропиона или ентропиона тклинастом ресекцијом</t>
  </si>
  <si>
    <t xml:space="preserve">УКУПНО  </t>
  </si>
  <si>
    <t>Инфилтрациона  анестезија</t>
  </si>
  <si>
    <t xml:space="preserve">11212-00 </t>
  </si>
  <si>
    <t xml:space="preserve">Преглед очног дна </t>
  </si>
  <si>
    <t xml:space="preserve">11221-00 </t>
  </si>
  <si>
    <t>Квантитативна компјутеризована периметрија, обострана</t>
  </si>
  <si>
    <t xml:space="preserve">11224-00 </t>
  </si>
  <si>
    <t>Квантитативна компјутеризована периметрија, једнострана</t>
  </si>
  <si>
    <t>18240-00</t>
  </si>
  <si>
    <t>Ретробулбарна или перибулбарна давања анестетичког средства</t>
  </si>
  <si>
    <t>22055-00</t>
  </si>
  <si>
    <t>Перфузија органа</t>
  </si>
  <si>
    <t>Репарација ране на очном капку</t>
  </si>
  <si>
    <t>30061-02</t>
  </si>
  <si>
    <t>Уклањање површинског страног тела са рожњаче</t>
  </si>
  <si>
    <t>30061-04</t>
  </si>
  <si>
    <t>Уклањање површинског страног тела са коњуктиве</t>
  </si>
  <si>
    <t>30071-02</t>
  </si>
  <si>
    <t>Биопсија очног капка</t>
  </si>
  <si>
    <t xml:space="preserve">42575-00 </t>
  </si>
  <si>
    <t>Операција халациона</t>
  </si>
  <si>
    <t>42584-00</t>
  </si>
  <si>
    <t>Тарзорафија</t>
  </si>
  <si>
    <t>42596-00</t>
  </si>
  <si>
    <t>Инцизија сузне кесице</t>
  </si>
  <si>
    <t>42614-01</t>
  </si>
  <si>
    <t>Сондирање лакрималних пролаза, једнострано</t>
  </si>
  <si>
    <t>42615-01</t>
  </si>
  <si>
    <t>Сондирање лакрималних пролаза, двострано</t>
  </si>
  <si>
    <t>42617-00</t>
  </si>
  <si>
    <t>Инцизија тачкица (пунктума)</t>
  </si>
  <si>
    <t xml:space="preserve">42617-001 </t>
  </si>
  <si>
    <t>Испирање сузних путева</t>
  </si>
  <si>
    <t>42632-01</t>
  </si>
  <si>
    <t>Инцизија коњуктиве</t>
  </si>
  <si>
    <t>42632-02</t>
  </si>
  <si>
    <t>Репарација лацерације коњунктиве</t>
  </si>
  <si>
    <t>42644-00</t>
  </si>
  <si>
    <t>Инцизија рожњаче</t>
  </si>
  <si>
    <t>42644-03</t>
  </si>
  <si>
    <t>Уклањање дубинског страног тела из коњунктиве</t>
  </si>
  <si>
    <t>42644-04</t>
  </si>
  <si>
    <t>Уклањање дубинског страног тела из рожњаче</t>
  </si>
  <si>
    <t>42650-00</t>
  </si>
  <si>
    <t>Дебридман (абразија) епитела рожњаче</t>
  </si>
  <si>
    <t>42668-00</t>
  </si>
  <si>
    <t>Уклањање шавова на рожњачи</t>
  </si>
  <si>
    <t xml:space="preserve">42683-00 </t>
  </si>
  <si>
    <t>Ексцизија лезија или ткива коњунктиве</t>
  </si>
  <si>
    <t>42740-02</t>
  </si>
  <si>
    <t>Примена терапеутског средства у предној комори</t>
  </si>
  <si>
    <t>42764-00</t>
  </si>
  <si>
    <t xml:space="preserve">Иридотомија  </t>
  </si>
  <si>
    <t>42785-00</t>
  </si>
  <si>
    <t>Иридотомија ласером</t>
  </si>
  <si>
    <t>42788-00</t>
  </si>
  <si>
    <t>Капсулотомија Nd:YAG или другим ласером</t>
  </si>
  <si>
    <t>42791-00</t>
  </si>
  <si>
    <t>Интракамерална ласерска лизија стакластог тела</t>
  </si>
  <si>
    <t>42807-00</t>
  </si>
  <si>
    <t>Ласерска фотомидријаза</t>
  </si>
  <si>
    <t>42809-00</t>
  </si>
  <si>
    <t>Деструкција мрежњаче фотокоагулацијом</t>
  </si>
  <si>
    <t xml:space="preserve">42809-001 </t>
  </si>
  <si>
    <t>Ласерфотокоагулација мрежњаче, панретинална</t>
  </si>
  <si>
    <t>42809-002</t>
  </si>
  <si>
    <t>Ласерфотокоагулација мрежњаче, грид</t>
  </si>
  <si>
    <t xml:space="preserve">42809-003 </t>
  </si>
  <si>
    <t>Ласерфотокоагулација руптуре мрежњаче</t>
  </si>
  <si>
    <t>42809-004</t>
  </si>
  <si>
    <t>Ласерфотокоагулација макуле</t>
  </si>
  <si>
    <t>42824-00</t>
  </si>
  <si>
    <t>Ретробулбарна ињекција алкохола или других лекова</t>
  </si>
  <si>
    <t>42824-01</t>
  </si>
  <si>
    <t>Субкоњунктивна примена лека</t>
  </si>
  <si>
    <t>45045-00</t>
  </si>
  <si>
    <t>Ексцизија артериовенске малформације очног капка</t>
  </si>
  <si>
    <t>55030-00</t>
  </si>
  <si>
    <t>Ултразвучни преглед садржаја орбите</t>
  </si>
  <si>
    <t xml:space="preserve">80238-00 </t>
  </si>
  <si>
    <t>Корекција трихијазе епилацијом, пинцетом</t>
  </si>
  <si>
    <t xml:space="preserve">81832-00 </t>
  </si>
  <si>
    <t>Процена оштрине вида</t>
  </si>
  <si>
    <t>81832-01</t>
  </si>
  <si>
    <t>Процена контрастне осетљивости</t>
  </si>
  <si>
    <t>81832-05</t>
  </si>
  <si>
    <t>Процена потенцијалне оштрине вида</t>
  </si>
  <si>
    <t>81832-10</t>
  </si>
  <si>
    <t>Процена деформације централног видног поља на Амселер мрежи</t>
  </si>
  <si>
    <t>81832-14</t>
  </si>
  <si>
    <t>Процена видног поља, мануелна, друге врсте</t>
  </si>
  <si>
    <t>81832-20</t>
  </si>
  <si>
    <t>Процена (оптичких карактеристика) тренутно коришћених наочара</t>
  </si>
  <si>
    <t>81832-21</t>
  </si>
  <si>
    <t>Процена акомодације, опсег, амплитуда и друге врсте процене</t>
  </si>
  <si>
    <t>81832-24</t>
  </si>
  <si>
    <t>Процена рефракције, објективна, аутоматизована (аутоматизована рефрактометрија)</t>
  </si>
  <si>
    <t>81832-27</t>
  </si>
  <si>
    <t>Процена рефракције, друге врсте</t>
  </si>
  <si>
    <t>81832-31</t>
  </si>
  <si>
    <t xml:space="preserve">Процена усклађености праваца видних осовина између очију </t>
  </si>
  <si>
    <t>81832-32</t>
  </si>
  <si>
    <t>Процена усклађености праваца видних осовина/која укључује снимање</t>
  </si>
  <si>
    <t>81832-33</t>
  </si>
  <si>
    <t>Процена функције екстраокуларних мишића</t>
  </si>
  <si>
    <t>81832-34</t>
  </si>
  <si>
    <t>Мерење функције екстра-окуларних мишића које укључују технике снимања</t>
  </si>
  <si>
    <t>81832-35</t>
  </si>
  <si>
    <t>Процена конвергенције</t>
  </si>
  <si>
    <t>81832-36</t>
  </si>
  <si>
    <t>Процена конвергенције/проксимална</t>
  </si>
  <si>
    <t>81832-39</t>
  </si>
  <si>
    <t>Процена покрета очију типа тзв. глатко праћење (посматраног објекта)</t>
  </si>
  <si>
    <t>81832-41</t>
  </si>
  <si>
    <t>Процена покрета очију, конвергентно-дивергентних</t>
  </si>
  <si>
    <t>81832-44</t>
  </si>
  <si>
    <t>Процена покрета очију, одржавање фиксације</t>
  </si>
  <si>
    <t>81832-47</t>
  </si>
  <si>
    <t>Процена бинокуларне функције, фузија</t>
  </si>
  <si>
    <t>81832-48</t>
  </si>
  <si>
    <t>Процена бинокуларне функције, стерео вид</t>
  </si>
  <si>
    <t>81832-49</t>
  </si>
  <si>
    <t>Процена бинокуларне функције, супресија</t>
  </si>
  <si>
    <t>81832-50</t>
  </si>
  <si>
    <t>Процена бинокуларног вида, симултана перцепција</t>
  </si>
  <si>
    <t>81832-51</t>
  </si>
  <si>
    <t>Процена диплопије</t>
  </si>
  <si>
    <t>81832-52</t>
  </si>
  <si>
    <t>Друге процене окуларне покретљивости и бинокуларне функције</t>
  </si>
  <si>
    <t>91832-62</t>
  </si>
  <si>
    <t>Oцена, преглед очне јабучице</t>
  </si>
  <si>
    <t>81832-63</t>
  </si>
  <si>
    <t>Преглед /процена сузног филма</t>
  </si>
  <si>
    <t>81832-66</t>
  </si>
  <si>
    <t>Преглед/процена предњег сегмента, предња комора</t>
  </si>
  <si>
    <t>81832-69</t>
  </si>
  <si>
    <t>Преглед/процена предњег сегмента, остало</t>
  </si>
  <si>
    <t>81832-71</t>
  </si>
  <si>
    <t xml:space="preserve">Преглед/процена задњег сегмента </t>
  </si>
  <si>
    <t>81832-72</t>
  </si>
  <si>
    <t>Мерење/процена интра-окуларног притиска</t>
  </si>
  <si>
    <t>81832-73</t>
  </si>
  <si>
    <t>Преглед/процена зенице, изглед</t>
  </si>
  <si>
    <t>81832-74</t>
  </si>
  <si>
    <t>Преглед/процена зенице, реакције</t>
  </si>
  <si>
    <t>81832-78</t>
  </si>
  <si>
    <t xml:space="preserve">Процењивање окуларне фотографије, друге (нпр. оптичка кохерентна томографија - OCT) </t>
  </si>
  <si>
    <t>81832-79</t>
  </si>
  <si>
    <t>Ултрасонографски преглед/процена, А скен</t>
  </si>
  <si>
    <t>81832-80</t>
  </si>
  <si>
    <t>Ултрасонографски преглед/процена, Б скен</t>
  </si>
  <si>
    <t>81833-01</t>
  </si>
  <si>
    <t>Офталмолошка оптичка интервенција, рецепт, наочаре</t>
  </si>
  <si>
    <t>81833-02</t>
  </si>
  <si>
    <t>Офталмолошка оптичка интервенција, рецепт, призме</t>
  </si>
  <si>
    <t>81833-03</t>
  </si>
  <si>
    <t>Офталмолошка оптичка интервенција, рецепт, контактна сочива</t>
  </si>
  <si>
    <t>81833-05</t>
  </si>
  <si>
    <t>Офталмолошка оптичка интервенција, подешавање, наочаре</t>
  </si>
  <si>
    <t>81833-08</t>
  </si>
  <si>
    <t>Офталмолошка оптичка интервенција, подешавање, контактна сочива</t>
  </si>
  <si>
    <t>81833-15</t>
  </si>
  <si>
    <t>Офталмолошка оптичка интервенција, остало</t>
  </si>
  <si>
    <t>81833-20</t>
  </si>
  <si>
    <t>Вежба, конвергенције</t>
  </si>
  <si>
    <t>81833-22</t>
  </si>
  <si>
    <t>Вежба фузионе амплитуде</t>
  </si>
  <si>
    <t>81833-23</t>
  </si>
  <si>
    <t>Вежба релативне фузионе вергенце</t>
  </si>
  <si>
    <t>81833-21</t>
  </si>
  <si>
    <t>Вежба, дивергенција</t>
  </si>
  <si>
    <t>81833-24</t>
  </si>
  <si>
    <t>Вежба фузиje oстало</t>
  </si>
  <si>
    <t>81833-27</t>
  </si>
  <si>
    <t>Офталмолошка оклузија, у циљу визуелно-сензорног развоја-третмана амблиопије</t>
  </si>
  <si>
    <t>81833-28</t>
  </si>
  <si>
    <t>Офталмолошка оклузија, у циљу ослобађања од субјективних тегоба (двоструке слике, анизеиконија ...)</t>
  </si>
  <si>
    <t>81835-01</t>
  </si>
  <si>
    <t>Аберометрија целокупног оптичког система ока</t>
  </si>
  <si>
    <t xml:space="preserve">81835-02 </t>
  </si>
  <si>
    <t>Пупилометрија</t>
  </si>
  <si>
    <t>Континуирано амбулаторно мерење гликемије методом накнадног и истовременог очитавања</t>
  </si>
  <si>
    <t>90665-00</t>
  </si>
  <si>
    <t>Обрада коже и поткожног ткива са ексцизијом</t>
  </si>
  <si>
    <t>90076-02</t>
  </si>
  <si>
    <t>Остале процедуре на предњој комори</t>
  </si>
  <si>
    <t>90084-00</t>
  </si>
  <si>
    <t xml:space="preserve">Инцизија очног капка </t>
  </si>
  <si>
    <t>90085-00</t>
  </si>
  <si>
    <t>Остале репарације очног капка</t>
  </si>
  <si>
    <t>90088-00</t>
  </si>
  <si>
    <t>Остале процедуре на лакриналном систему</t>
  </si>
  <si>
    <t xml:space="preserve">90088-001 </t>
  </si>
  <si>
    <t>Ширмеров (Schirmer) тест</t>
  </si>
  <si>
    <t xml:space="preserve">92016-00 </t>
  </si>
  <si>
    <t xml:space="preserve">Тонометрија </t>
  </si>
  <si>
    <t xml:space="preserve">92018-00 </t>
  </si>
  <si>
    <t>Испитивање колорног вида</t>
  </si>
  <si>
    <t>92509-10</t>
  </si>
  <si>
    <t>Регионална блокада, нерва главе или врата, AСA 10</t>
  </si>
  <si>
    <t>92509-19</t>
  </si>
  <si>
    <t>Регионална блокада, нерва главе или врата, AСA 19</t>
  </si>
  <si>
    <t>92509-29</t>
  </si>
  <si>
    <t>Регионална блокада, нерва главе или врата, AСA 29</t>
  </si>
  <si>
    <t>92509-39</t>
  </si>
  <si>
    <t>Регионална блокада, нерва главе или врата, AСA 39</t>
  </si>
  <si>
    <t>82613-39</t>
  </si>
  <si>
    <t>Инфилтрација локалног анестетика, AСA 39</t>
  </si>
  <si>
    <r>
      <t>96012-001</t>
    </r>
    <r>
      <rPr>
        <sz val="10"/>
        <rFont val="Times New Roman"/>
        <family val="1"/>
        <charset val="238"/>
      </rPr>
      <t xml:space="preserve"> </t>
    </r>
  </si>
  <si>
    <t xml:space="preserve">Дефектолошка анамнеза и обсервација </t>
  </si>
  <si>
    <t xml:space="preserve">96038-00 </t>
  </si>
  <si>
    <t>Мерење оштрине вида</t>
  </si>
  <si>
    <t>96044-00</t>
  </si>
  <si>
    <t>Мерење покретљивости ока и бинокуларне функције</t>
  </si>
  <si>
    <t xml:space="preserve">96142-00 </t>
  </si>
  <si>
    <t xml:space="preserve">Увежбавање вештина коришћења уређаја или опреме за помоћ </t>
  </si>
  <si>
    <t xml:space="preserve">96156-00 </t>
  </si>
  <si>
    <t xml:space="preserve">Терапијско затварање ока завојем </t>
  </si>
  <si>
    <t>Орално давање фармаколошког средства, антидот.</t>
  </si>
  <si>
    <t>Неки други начин давања фармаколошког средства, анти-инфективно средство</t>
  </si>
  <si>
    <t>96205-03</t>
  </si>
  <si>
    <t>Неки други начин давања фармаколошког средства, стероид</t>
  </si>
  <si>
    <t>96205-06</t>
  </si>
  <si>
    <t>Неки други начин давања фармаколошког средства, инсулин</t>
  </si>
  <si>
    <t>426843-00</t>
  </si>
  <si>
    <t xml:space="preserve">42809-002 </t>
  </si>
  <si>
    <t>Ласерфотокоагулација мрежњаче, grid</t>
  </si>
  <si>
    <t xml:space="preserve">42809-004 </t>
  </si>
  <si>
    <t>Корекција ектропиона или ентропиона клинастом ресекцијом</t>
  </si>
  <si>
    <t>ОПЕРАЦИЈЕ УКУПНО</t>
  </si>
  <si>
    <t>СВЕ УСЛУГЕ УКУПНО</t>
  </si>
  <si>
    <t>Образложење: Већа реализација последица је напора Службе да се Листа чекања сведе на најмањи могући број пацијената.</t>
  </si>
  <si>
    <t>ОПЕРАЦИЈЕ ОДСЕКА ОРТОПЕДИЈЕ СА ТРАУМАТОЛОГИЈОМ</t>
  </si>
  <si>
    <t xml:space="preserve">30114-00 </t>
  </si>
  <si>
    <t>Ексцизија Бекерове (Baker) цисте</t>
  </si>
  <si>
    <t>31235-03</t>
  </si>
  <si>
    <t>Ексцизија лезије(а) на кожи и поткожном ткиву ноге</t>
  </si>
  <si>
    <t>40300-00</t>
  </si>
  <si>
    <t>Дискектомија, један ниво</t>
  </si>
  <si>
    <t>40300-01</t>
  </si>
  <si>
    <t>Дискектомија, два или више нивоа</t>
  </si>
  <si>
    <t>40303-00</t>
  </si>
  <si>
    <t xml:space="preserve"> Дисектомија за рекурентне лезије на дискусима, један ниво</t>
  </si>
  <si>
    <t xml:space="preserve">40303-01 </t>
  </si>
  <si>
    <t>Дисектомија за рекурентне лезије на дисковима, два или више нивоа</t>
  </si>
  <si>
    <t xml:space="preserve">44364-01 </t>
  </si>
  <si>
    <t>Трансметатарзална ампутација</t>
  </si>
  <si>
    <t xml:space="preserve">44367-00 </t>
  </si>
  <si>
    <t>Ампутација изнад линије колена</t>
  </si>
  <si>
    <t xml:space="preserve">44367-02 </t>
  </si>
  <si>
    <t xml:space="preserve">Ампутација испод колена </t>
  </si>
  <si>
    <t>47012-00</t>
  </si>
  <si>
    <t>Отворена репозиција ишчашења рамена</t>
  </si>
  <si>
    <t>47012-01</t>
  </si>
  <si>
    <t>Отворена репозиција ишчашења рамена са унутрашњом фиксацијом</t>
  </si>
  <si>
    <t xml:space="preserve">47021-00 </t>
  </si>
  <si>
    <t>Отворена репозиција ишчашења лакта</t>
  </si>
  <si>
    <t xml:space="preserve">47021-01 </t>
  </si>
  <si>
    <t>Отворена репозиција ишчашења лакта са унутрашњом фиксацијом</t>
  </si>
  <si>
    <t xml:space="preserve">47021-011 </t>
  </si>
  <si>
    <t>Отворена репозиција ишчашења лакта са спољашњом фиксацијом</t>
  </si>
  <si>
    <t>47027-00</t>
  </si>
  <si>
    <t>Отворена репозиција ишчашења проксималног радио-улнарног зглоба</t>
  </si>
  <si>
    <t xml:space="preserve">47027-01 </t>
  </si>
  <si>
    <t>Отворена репозиција прелома проксималног радио-улнарног зглоба са унутрашњом фиксацијом</t>
  </si>
  <si>
    <t xml:space="preserve">47027-03 </t>
  </si>
  <si>
    <t>Отворена репозиција ишчашења дисталног радио-улнарног зглоба са унутрашњом фиксацијом</t>
  </si>
  <si>
    <t xml:space="preserve">47027-031 </t>
  </si>
  <si>
    <t>Отворена репозиција ишчашења дисталног радио-улнарног зглоба са спољашњом фиксацијом</t>
  </si>
  <si>
    <t>47051-00</t>
  </si>
  <si>
    <t>Отворена репозиција ишчашења зглоба кука</t>
  </si>
  <si>
    <t xml:space="preserve">47066-01 </t>
  </si>
  <si>
    <t>Отворена репозиција ишчашења скочног зглоба са унутрашњом фиксацијом</t>
  </si>
  <si>
    <t xml:space="preserve">47066-011 </t>
  </si>
  <si>
    <t>Отворена репозиција ишчашења скочног зглоба са спољашњом фиксацијом</t>
  </si>
  <si>
    <t>47306-00</t>
  </si>
  <si>
    <t xml:space="preserve">Отворена репозиција прелома дисталног чланка прста на руци </t>
  </si>
  <si>
    <t xml:space="preserve">47306-01 </t>
  </si>
  <si>
    <t>Отворена репозиција прелома дисталног чланка прста на руци са унутрашњом фиксацијом</t>
  </si>
  <si>
    <t>47330-00</t>
  </si>
  <si>
    <t xml:space="preserve">Отворена репозиција прелома проксималног чланка прста на руци </t>
  </si>
  <si>
    <t>47330-011</t>
  </si>
  <si>
    <t>Отворена репозиција прелома проксималног чланка прста на руци са спољашњом фиксацијом</t>
  </si>
  <si>
    <t>47330-01</t>
  </si>
  <si>
    <t>Отворена репозиција прелома проксималног чланка прста на руци са унутрашњом фиксацијом</t>
  </si>
  <si>
    <t>47345-01</t>
  </si>
  <si>
    <t>Отворена репозиција унутарзглобног прелома метакарпуса са унутрашњом фиксацијом</t>
  </si>
  <si>
    <t xml:space="preserve">47366-00 </t>
  </si>
  <si>
    <t>Отворена репозиција прелома дисталног дела радијуса</t>
  </si>
  <si>
    <t xml:space="preserve">47366-02 </t>
  </si>
  <si>
    <t>Отворена репозиција прелома дисталног дела радијуса унутрашњом фиксацијом</t>
  </si>
  <si>
    <t xml:space="preserve">47366-021 </t>
  </si>
  <si>
    <t>Отворена репозиција прелома дисталног дела радијуса сa cпољашњом фиксацијом</t>
  </si>
  <si>
    <t xml:space="preserve">47366-03 </t>
  </si>
  <si>
    <t>Отворена репозиција прелома дисталног дела улне са унутрашњом фиксацијом</t>
  </si>
  <si>
    <t xml:space="preserve">47366-031 </t>
  </si>
  <si>
    <t>Отворена репозиција прелома дисталног дела улне са спољашњом фиксацијом</t>
  </si>
  <si>
    <t xml:space="preserve">47381-02 </t>
  </si>
  <si>
    <t>Затворена репозиција прелома тела радијуса са унутрашњом фиксацијом</t>
  </si>
  <si>
    <t xml:space="preserve">47384-02 </t>
  </si>
  <si>
    <t>Отворена репозиција прелома тела радијуса са унутрашњом фиксацијом</t>
  </si>
  <si>
    <t xml:space="preserve">47384-03 </t>
  </si>
  <si>
    <t>Отворена репозиција прелома тела улне са унутрашњом фиксацијом</t>
  </si>
  <si>
    <t xml:space="preserve">47384-021 </t>
  </si>
  <si>
    <t>Отворена репозиција прелома тела радијуса са спољашњом фиксацијом</t>
  </si>
  <si>
    <t xml:space="preserve">47384-031 </t>
  </si>
  <si>
    <t>Отворена репозиција прелома тела улне са спољашњом фиксацијом</t>
  </si>
  <si>
    <t xml:space="preserve">47386-01 </t>
  </si>
  <si>
    <t>Отворена репозиција прелома тела радијуса са ишчашењем и унутрашњом фиксацијом</t>
  </si>
  <si>
    <t>47386-02</t>
  </si>
  <si>
    <t>Отворена репозиција прелома тела улне са ишчашењем</t>
  </si>
  <si>
    <t xml:space="preserve">47386-011 </t>
  </si>
  <si>
    <t>Отворена репозиција прелома тела радијуса са ишчашењем и спољашњом фиксацијом</t>
  </si>
  <si>
    <t xml:space="preserve">47386-03 </t>
  </si>
  <si>
    <t>Отворена репозиција прелома тела улне са ишчашењем и унутрашњом фиксацијом</t>
  </si>
  <si>
    <t xml:space="preserve">47386-031 </t>
  </si>
  <si>
    <t>Отворена репозиција прелома тела улне са ишчашењем и спољашњом фиксацијом</t>
  </si>
  <si>
    <t>47393-00</t>
  </si>
  <si>
    <t>Отворена репозиција прелома тела радијуса и улне</t>
  </si>
  <si>
    <t xml:space="preserve">47393-01 </t>
  </si>
  <si>
    <t>Отворена репозиција прелома тела радијуса и улне са унутрашњом фиксацијом</t>
  </si>
  <si>
    <t xml:space="preserve">47393-011 </t>
  </si>
  <si>
    <t>Отворена репозиција прелома тела радијуса и улне са спољашњом фиксацијом</t>
  </si>
  <si>
    <t>47399-01</t>
  </si>
  <si>
    <t>Отворена репозиција прелома олекранона са  унутрашњом  фиксацијом</t>
  </si>
  <si>
    <t xml:space="preserve">47399-011 </t>
  </si>
  <si>
    <t>Отворена репозиција прелома олекранона са спољашњом фиксацијом</t>
  </si>
  <si>
    <t>47402-01</t>
  </si>
  <si>
    <t>Отворена репозиција прелома олекранона са парцијалном остектомијом фрагмента олекранона и унутрашњом фиксацијом</t>
  </si>
  <si>
    <t xml:space="preserve">47405-01 </t>
  </si>
  <si>
    <t>Затворена репозиција прелома главе или врата радијуса са унутрашњом фиксацијом</t>
  </si>
  <si>
    <t xml:space="preserve">47408-01 </t>
  </si>
  <si>
    <t>Отворена репозиција прелома главе или врата радијуса са унутрашњом фиксацијом</t>
  </si>
  <si>
    <t xml:space="preserve">47429-01 </t>
  </si>
  <si>
    <t>Отворена репозиција прелома проксималног дела хумеруса са унутрашњом фиксацијом</t>
  </si>
  <si>
    <t xml:space="preserve">47429-011 </t>
  </si>
  <si>
    <t>Отворена репозиција прелома проксималног дела хумеруса са спољашњом фиксацијом</t>
  </si>
  <si>
    <t xml:space="preserve">47432-01 </t>
  </si>
  <si>
    <t>Отворена репозиција унутарзглобног прелома проксималног дела хумеруса са унутрашњом фиксацијом</t>
  </si>
  <si>
    <t xml:space="preserve">47432-011 </t>
  </si>
  <si>
    <t>Отворена репозиција унутарзглобног прелома проксималног дела хумеруса са спољашњом фиксацијом</t>
  </si>
  <si>
    <t xml:space="preserve">47450-011 </t>
  </si>
  <si>
    <t>Отворена репозиција прелома тела хумеруса са спољашњом фиксацијом</t>
  </si>
  <si>
    <t xml:space="preserve">47456-01 </t>
  </si>
  <si>
    <t>Затворена репозиција прелома дисталног дела хумеруса са унутрашњом фиксацијом</t>
  </si>
  <si>
    <t xml:space="preserve">47459-01 </t>
  </si>
  <si>
    <t>Отворена репозиција прелома дисталног дела хумеруса унутрашњом фиксацијом</t>
  </si>
  <si>
    <t xml:space="preserve">47459-011 </t>
  </si>
  <si>
    <t>Отворена репозиција прелома дисталног дела хумеруса спољашњом фиксацијом</t>
  </si>
  <si>
    <t xml:space="preserve">47501-00 </t>
  </si>
  <si>
    <t>Отворена репозиција прелома ацетабулума са унутрашњом фиксацијом</t>
  </si>
  <si>
    <t>47516-00</t>
  </si>
  <si>
    <t>Тракција због прелома фемура</t>
  </si>
  <si>
    <t xml:space="preserve">47522-00 </t>
  </si>
  <si>
    <t>Хемиартропластика кука униполарном ендопротезом</t>
  </si>
  <si>
    <t xml:space="preserve">47528-01 </t>
  </si>
  <si>
    <t>Отворена репозиција прелома фемура са унутрашњом фиксацијом</t>
  </si>
  <si>
    <t xml:space="preserve">47528-011 </t>
  </si>
  <si>
    <t>Отворена репозиција прелома фемура са спољашњом фиксацијом</t>
  </si>
  <si>
    <t xml:space="preserve">47531-00 </t>
  </si>
  <si>
    <t>Затворена репозиција прелома фемура са унутрашњом фиксацијом</t>
  </si>
  <si>
    <t>47534-00</t>
  </si>
  <si>
    <t>Отворена репозиција и унутрашња фиксација зглобног прелома кондила фемура</t>
  </si>
  <si>
    <t>47534-001</t>
  </si>
  <si>
    <t>Отворена репозиција и спољашња фиксација зглобног прелома кондила фемура</t>
  </si>
  <si>
    <t>47537-00</t>
  </si>
  <si>
    <t>Отворена репозиција и унутрашња фиксација прелома кондила фемура</t>
  </si>
  <si>
    <t xml:space="preserve">47519-00 </t>
  </si>
  <si>
    <t>Фиксација прелома трохантерног или субкапиталног дела фемура</t>
  </si>
  <si>
    <t xml:space="preserve">47549-01 </t>
  </si>
  <si>
    <t>Отворена репозиција прелома медијалног или латералног кондила тибије са унутрашњом фиксацијом</t>
  </si>
  <si>
    <t xml:space="preserve">47558-011 </t>
  </si>
  <si>
    <t>Отворена репозиција прелома медијалног и латералног кондила тибије са спољашњом фиксацијом</t>
  </si>
  <si>
    <t xml:space="preserve">47566-00 </t>
  </si>
  <si>
    <t>Затворена репозиција прелома тела тибије са унутрашњом фиксацијом</t>
  </si>
  <si>
    <t xml:space="preserve">47566-001 </t>
  </si>
  <si>
    <t>Затворена репозиција прелома тела тибије са спољашњом фиксацијом</t>
  </si>
  <si>
    <t xml:space="preserve">47566-01 </t>
  </si>
  <si>
    <t>Отворена репозиција прелома тела тибије са унутрашњом фиксацијом</t>
  </si>
  <si>
    <t xml:space="preserve">47566-011 </t>
  </si>
  <si>
    <t>Отворена репозиција прелома тела тибије са спољашњом фиксацијом</t>
  </si>
  <si>
    <t xml:space="preserve">47566-03 </t>
  </si>
  <si>
    <t>Отворена репозиција зглобног прелома тела тибије са унутрашњом фиксацијом</t>
  </si>
  <si>
    <t xml:space="preserve">47582-00 </t>
  </si>
  <si>
    <t>Пателектомија са реконструкцијом екстензорног механизма</t>
  </si>
  <si>
    <t>47585-00</t>
  </si>
  <si>
    <t>Отворена репозиција и унутрашња фиксација прелома пателе</t>
  </si>
  <si>
    <t>47600-00</t>
  </si>
  <si>
    <t>Затворена репозивија прелома скочног зглоба са унутрашњом фиксацијом симдесмозе, фибуле или малеолуса</t>
  </si>
  <si>
    <t xml:space="preserve">47600-01 </t>
  </si>
  <si>
    <t>Отворена репозиција прелома скочног зглоба са унутрашњом фиксацијом синдесмозе, фибуле или малеолуса</t>
  </si>
  <si>
    <t xml:space="preserve">47603-01 </t>
  </si>
  <si>
    <t>Отворена репозиција прелома скочног зглоба са унутрашњом фиксацијом две или више синдесмозе, фибуле или малеолуса</t>
  </si>
  <si>
    <t xml:space="preserve">47603-011 </t>
  </si>
  <si>
    <t>Отворена репозиција прелома скочног зглоба са спољашњом фиксацијом две или више синдесмозе, фибуле или малеолуса</t>
  </si>
  <si>
    <t xml:space="preserve">47615-011 </t>
  </si>
  <si>
    <t>Отворена репозиција прелома петне кости са спољашњом фиксацијом</t>
  </si>
  <si>
    <t xml:space="preserve">47615-06 </t>
  </si>
  <si>
    <t>Отворена репозиција ишчашења талуса</t>
  </si>
  <si>
    <t xml:space="preserve">47615-071 </t>
  </si>
  <si>
    <t xml:space="preserve">Отворена репозиција ишчашења талуса са спољашњом фиксацијом </t>
  </si>
  <si>
    <t xml:space="preserve">47618-06 </t>
  </si>
  <si>
    <t xml:space="preserve">Отворена репозиција прелома талуса са ишчашењем </t>
  </si>
  <si>
    <t xml:space="preserve">47624-00 </t>
  </si>
  <si>
    <t xml:space="preserve">Отворена репозиција прелома тарзомететарзалног зглоба </t>
  </si>
  <si>
    <t xml:space="preserve">47624-01 </t>
  </si>
  <si>
    <t>Отворена репозиција прелома тарзометатарзалног зглоба са унутрашњом фиксацијом</t>
  </si>
  <si>
    <t xml:space="preserve">47639-00 </t>
  </si>
  <si>
    <t xml:space="preserve">Отворена репозиција прелома метатарзуса </t>
  </si>
  <si>
    <t>47639-01</t>
  </si>
  <si>
    <t>Отворена репозиција прелома метатарзуса са унутрашњом фиксацијом</t>
  </si>
  <si>
    <t>47848-00</t>
  </si>
  <si>
    <t>Исправљање чекићастог прста на нози</t>
  </si>
  <si>
    <t xml:space="preserve">47927-00 </t>
  </si>
  <si>
    <t>Одстрањење клина, завртња или жице, некласификовано на другом месту</t>
  </si>
  <si>
    <t xml:space="preserve">47927-01 </t>
  </si>
  <si>
    <t>Одстрањење клина, завртња или жице из кости</t>
  </si>
  <si>
    <t xml:space="preserve">47930-00 </t>
  </si>
  <si>
    <t>Одстрањење плоче или интрамедуларног клина, некласификовано на другом месту</t>
  </si>
  <si>
    <t xml:space="preserve">47930-01 </t>
  </si>
  <si>
    <t>Одстрањење плоче или интрамедуларног клина из кости</t>
  </si>
  <si>
    <t xml:space="preserve">47933-01 </t>
  </si>
  <si>
    <t>Аблација егзостозе кости стопала</t>
  </si>
  <si>
    <t xml:space="preserve">47936-00 </t>
  </si>
  <si>
    <t>Аблација егзостозе велике кости</t>
  </si>
  <si>
    <t>47975-01</t>
  </si>
  <si>
    <t>Декомпресијска фасциотомија листа због акутног компартман синдрома</t>
  </si>
  <si>
    <t xml:space="preserve">48203-00 </t>
  </si>
  <si>
    <t>Пресађивање кости за фемур са унутрашњом фиксацијом</t>
  </si>
  <si>
    <t xml:space="preserve">48221-00 </t>
  </si>
  <si>
    <t>Пресађивање кости за радијалну и улнарну кост са фиксацијом</t>
  </si>
  <si>
    <t xml:space="preserve">48227-00 </t>
  </si>
  <si>
    <t>Пресађивање кости за радијалну или улнарну кост са фиксацијом</t>
  </si>
  <si>
    <t xml:space="preserve">48406-00 </t>
  </si>
  <si>
    <t>Остеотомија (кортикотомија) фибуле</t>
  </si>
  <si>
    <t>48406-01</t>
  </si>
  <si>
    <t>Остеотомија  фибуле</t>
  </si>
  <si>
    <t>48930-00</t>
  </si>
  <si>
    <t>Стабилизација рамена</t>
  </si>
  <si>
    <t xml:space="preserve">49103-00 </t>
  </si>
  <si>
    <t xml:space="preserve"> Стабилизација лакта</t>
  </si>
  <si>
    <t xml:space="preserve">49315-00 </t>
  </si>
  <si>
    <t>Хемиартропластика зглоба кука биполарном ендопротезом</t>
  </si>
  <si>
    <t xml:space="preserve">49318-00 </t>
  </si>
  <si>
    <t>Потпуна артропластика зглоба кука, једнострана</t>
  </si>
  <si>
    <t>49324-00</t>
  </si>
  <si>
    <t>Ревизија потпуне артропластике кука</t>
  </si>
  <si>
    <t>49346-00</t>
  </si>
  <si>
    <t xml:space="preserve">Ревизија хемиартропластике кука </t>
  </si>
  <si>
    <t>49500-02</t>
  </si>
  <si>
    <t>Одстрањење слободних зглобних тела из колена</t>
  </si>
  <si>
    <t xml:space="preserve">49503-00 </t>
  </si>
  <si>
    <t>Менисцектомија зглоба колена</t>
  </si>
  <si>
    <t xml:space="preserve">49503-04 </t>
  </si>
  <si>
    <t>Пателектомија</t>
  </si>
  <si>
    <t xml:space="preserve">49509-011 </t>
  </si>
  <si>
    <t>Артродеза зглоба колена са спољашњом фиксацијом</t>
  </si>
  <si>
    <t xml:space="preserve">49518-00 </t>
  </si>
  <si>
    <t>Потпуна артропластика колена, једнострано</t>
  </si>
  <si>
    <t>49519-00</t>
  </si>
  <si>
    <t>Потпуна артопластика колена, обострано</t>
  </si>
  <si>
    <t xml:space="preserve">49534-01 </t>
  </si>
  <si>
    <t>Потпуна замена артропластиком пателофеморалног зглоба колена</t>
  </si>
  <si>
    <t>49557-00</t>
  </si>
  <si>
    <t xml:space="preserve">Артроскопија колена </t>
  </si>
  <si>
    <t xml:space="preserve">49557-02 </t>
  </si>
  <si>
    <t xml:space="preserve">Артроскопска ексцизија руба или набора менискуса колена </t>
  </si>
  <si>
    <t xml:space="preserve">49558-00 </t>
  </si>
  <si>
    <t xml:space="preserve">Артроскопска тоалета зглоба колена </t>
  </si>
  <si>
    <t>49560-00</t>
  </si>
  <si>
    <t>Артроскопско одстрањење слободних/лабавих тела из колена</t>
  </si>
  <si>
    <t>49560-02</t>
  </si>
  <si>
    <t>Артроскопско пресецање латералних крила чашице колена</t>
  </si>
  <si>
    <t>49560-03</t>
  </si>
  <si>
    <t>Артроскопска менисцектомија зглоба колена</t>
  </si>
  <si>
    <t xml:space="preserve">49569-00 </t>
  </si>
  <si>
    <t>Квадрицепспластика колена</t>
  </si>
  <si>
    <t xml:space="preserve">49709-00 </t>
  </si>
  <si>
    <t>Стабилизација скочног зглоба</t>
  </si>
  <si>
    <t xml:space="preserve">49712-00 </t>
  </si>
  <si>
    <t>Артродеза скочног зглоба</t>
  </si>
  <si>
    <t xml:space="preserve">49718-01 </t>
  </si>
  <si>
    <t>Репарација Ахилове тетиве</t>
  </si>
  <si>
    <t xml:space="preserve">49724-00 </t>
  </si>
  <si>
    <t>Секундарна (одложена) репарација Ахилове тетиве</t>
  </si>
  <si>
    <t xml:space="preserve">49824-00 </t>
  </si>
  <si>
    <t>Исправљање halux valgus-а или halux rigidus-а помоћу артропластике, обострано</t>
  </si>
  <si>
    <t xml:space="preserve">49833-00 </t>
  </si>
  <si>
    <t>Исправљање halux valgus-а остеотомијом прве метатарзалне кости, једнострано</t>
  </si>
  <si>
    <t xml:space="preserve">49836-00 </t>
  </si>
  <si>
    <t>Исправљање halux valgus-а остеотомијом прве метатарзалне кости, обострано</t>
  </si>
  <si>
    <t>49837-00</t>
  </si>
  <si>
    <t>Исправљање halux valgus-а остеотомијом прве метатарзалне кости и преношењем тетиве мишића примицача палца (М.adductor hallucis), једнострано</t>
  </si>
  <si>
    <t xml:space="preserve">49848-00 </t>
  </si>
  <si>
    <t xml:space="preserve">49848-01 </t>
  </si>
  <si>
    <t>Исправљање канџастог прста на нози</t>
  </si>
  <si>
    <t>90024-00</t>
  </si>
  <si>
    <t>Декомпресија кичменог канала у лумбалном делу, један ниво</t>
  </si>
  <si>
    <t>90024-01</t>
  </si>
  <si>
    <t>Декомпресија кичменог канала у лумбалном делу, два или више нивоа</t>
  </si>
  <si>
    <t xml:space="preserve">90541-01 </t>
  </si>
  <si>
    <t>Отворена репозиција раздвојених епифиза радијуса или улне</t>
  </si>
  <si>
    <t>49312-00</t>
  </si>
  <si>
    <t>Ресекциона артропл.зглоба кука</t>
  </si>
  <si>
    <t>49527-00</t>
  </si>
  <si>
    <t>Ревизија потпуне артропластике колена</t>
  </si>
  <si>
    <t>49515-00</t>
  </si>
  <si>
    <t>Одстранјиванје протезе зглоба колена</t>
  </si>
  <si>
    <t>48945-00</t>
  </si>
  <si>
    <t>Артроскопија рамена</t>
  </si>
  <si>
    <t>49700-00</t>
  </si>
  <si>
    <t>Артроскопија скочног зглоба</t>
  </si>
  <si>
    <t>49542-00</t>
  </si>
  <si>
    <t>Арт.реконст.укршт.лиг.колена</t>
  </si>
  <si>
    <t>ОПЕРАЦИЈЕ ОДСЕКА ПЛАСТИЧНЕ ХИРУРГИЈЕ</t>
  </si>
  <si>
    <t>30107-00</t>
  </si>
  <si>
    <t>Ексцизија ганглиона, некласификована на другом месту</t>
  </si>
  <si>
    <t>30020-00</t>
  </si>
  <si>
    <t>Обрада опекотине са ексцизијом, 10% и више површине тела је обрађено или ексцидирано</t>
  </si>
  <si>
    <t>Репарација ране на кожи и подкожном ткиву лица или врата, површинска</t>
  </si>
  <si>
    <t>30235-00</t>
  </si>
  <si>
    <t>Ексцизија лезије(а) на кожи и поткожном ткивуусне</t>
  </si>
  <si>
    <t>31230-04</t>
  </si>
  <si>
    <t xml:space="preserve"> Ексцизија лезије(а) на кожи и поткожном ткиву прста шаке</t>
  </si>
  <si>
    <t>Ексцизија лезије(а) на кожи и поткожном ткиву осталих области на глави</t>
  </si>
  <si>
    <t>31235-02</t>
  </si>
  <si>
    <t>Ексцизија лезије(а) на кожи и поткожном ткиву шаке</t>
  </si>
  <si>
    <t>31235-04</t>
  </si>
  <si>
    <t>Ексцизија лезије(а) на кожи и поткожном ткиву стопала</t>
  </si>
  <si>
    <t xml:space="preserve">31350-00 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</si>
  <si>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</si>
  <si>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</si>
  <si>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</si>
  <si>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39300-00</t>
  </si>
  <si>
    <t>Директна сутура периферног нерва</t>
  </si>
  <si>
    <t xml:space="preserve">39331-01 </t>
  </si>
  <si>
    <t>Декомпресија нерва медијануса код синдрома карпалног канала</t>
  </si>
  <si>
    <t>42863-002</t>
  </si>
  <si>
    <t>Ресекција леватора капка код птозе</t>
  </si>
  <si>
    <t>44338-00</t>
  </si>
  <si>
    <t>Ампутација прста на нози</t>
  </si>
  <si>
    <t>45054-00</t>
  </si>
  <si>
    <t>есхаротомија</t>
  </si>
  <si>
    <t>Компликован и велики локални режањ коже било које области</t>
  </si>
  <si>
    <t>Једноставн и мали локални режањ коже носа</t>
  </si>
  <si>
    <t>Једноставн и мали локални режањ коже ува</t>
  </si>
  <si>
    <t>Једноставн и мали локални режањ коже врата</t>
  </si>
  <si>
    <t>45206-05</t>
  </si>
  <si>
    <t>Једноставан и мали локални режањ коже шаке</t>
  </si>
  <si>
    <t>Једноставан и мали локални режањ коже palca</t>
  </si>
  <si>
    <t>Једноставан и мали локални режањ коже прста шаке</t>
  </si>
  <si>
    <t>45206-08</t>
  </si>
  <si>
    <t>Једноставан и мали локални режањ коже гениталија</t>
  </si>
  <si>
    <t>Једностав и мали локални режањ осталих области лица</t>
  </si>
  <si>
    <t>45206-11</t>
  </si>
  <si>
    <t>Једноставан и мали локални режањ коже прста стопала</t>
  </si>
  <si>
    <t>45224-01</t>
  </si>
  <si>
    <t>Мали директни удаљени режањ коже, други стадијум</t>
  </si>
  <si>
    <t>45400-00</t>
  </si>
  <si>
    <t>Трансплантат парцијалне дебљине коже за малу гранулирајућу област - површину</t>
  </si>
  <si>
    <t>45400-01</t>
  </si>
  <si>
    <t>Трансплантат парцијалне дебљине коже за малу гранулирајућу област опекотине, &lt; 3% површине тела покривено трансплантатом</t>
  </si>
  <si>
    <t>45403-00</t>
  </si>
  <si>
    <t>Трансплантат парцијалне дебљине коже за екстензивну гранулирајућу област</t>
  </si>
  <si>
    <t>45403-01</t>
  </si>
  <si>
    <t>Трансплантат парцијалне дебљине коже за екстензивну гранулирајућу област опекотине, ≥ 3% површине тела покривено трансплантатом</t>
  </si>
  <si>
    <t xml:space="preserve">45439-00 </t>
  </si>
  <si>
    <t>Мали трансплантат парцијалне дебљине коже за остале области</t>
  </si>
  <si>
    <t>45448-03</t>
  </si>
  <si>
    <t>Мали трансплантат парцијалне дебљине коже за уво</t>
  </si>
  <si>
    <t>45488-06</t>
  </si>
  <si>
    <t>Мали трансплатат парцијалне дебљине коже за палац</t>
  </si>
  <si>
    <t>45448-07</t>
  </si>
  <si>
    <t>Мали трансплантат парцијалне дебљине коже за прст шаке</t>
  </si>
  <si>
    <t>45448-10</t>
  </si>
  <si>
    <t>Мали трансплант парцијалне дебљине коже за стопало</t>
  </si>
  <si>
    <t>45451-06</t>
  </si>
  <si>
    <t>Трансплатат коже пуне дебљине на палцу</t>
  </si>
  <si>
    <t>45451-01</t>
  </si>
  <si>
    <t>45451-03</t>
  </si>
  <si>
    <t>Трансплантат коже пуне дебљине на уву</t>
  </si>
  <si>
    <t>45451-07</t>
  </si>
  <si>
    <t>Трансплантат коже пуне дебљине на прсту шаке</t>
  </si>
  <si>
    <t>45451-24</t>
  </si>
  <si>
    <t>Трансплант коже пуне дебљине на осталим областима лица</t>
  </si>
  <si>
    <t>45151-24</t>
  </si>
  <si>
    <t>45515-00</t>
  </si>
  <si>
    <t>Ревизија ожиљка на осталим областима дужине 7цм и мање</t>
  </si>
  <si>
    <t>45563-00</t>
  </si>
  <si>
    <t>Острвски режањ са васкуларном педикулом</t>
  </si>
  <si>
    <t>45659-01</t>
  </si>
  <si>
    <t>Остале корекције деформитета екстерног ува</t>
  </si>
  <si>
    <t>46330-00</t>
  </si>
  <si>
    <t>Репарација лигамента или капсуле интерфалангеалног зглоба шаке</t>
  </si>
  <si>
    <t>46307-00</t>
  </si>
  <si>
    <t xml:space="preserve">Артропластка воларне везивне плоче интерфалангеалног зглоба шаке </t>
  </si>
  <si>
    <t>46330-01</t>
  </si>
  <si>
    <t>Репарација лигамента или капсуле метакарпофалангеалног зглоба</t>
  </si>
  <si>
    <t>46336-04</t>
  </si>
  <si>
    <t>Дебридман интерфалангеалног  зглоба  шаке</t>
  </si>
  <si>
    <t>46363-00</t>
  </si>
  <si>
    <t>Опуштање тетивне овојнице шаке</t>
  </si>
  <si>
    <t>46369-00</t>
  </si>
  <si>
    <t>Палмарна фасектомија због Дипетренове контрактуре</t>
  </si>
  <si>
    <t xml:space="preserve">46372-00 </t>
  </si>
  <si>
    <t xml:space="preserve">Палмарна фасциектомија због Дипитренове контрактуре која захвата 1 прст </t>
  </si>
  <si>
    <t xml:space="preserve">46375-00 </t>
  </si>
  <si>
    <t xml:space="preserve">Палмарна фасциектомија због Дипитренове контрактуре која захвата 2 прста </t>
  </si>
  <si>
    <t xml:space="preserve">46378-00 </t>
  </si>
  <si>
    <t>Палмарна фасциектомија због Дипитренове контрактуре која захвата ≥ 3 прста</t>
  </si>
  <si>
    <t xml:space="preserve">46408-00 </t>
  </si>
  <si>
    <t>Реконструкција тетиве шаке помоћу пресађивања тетиве</t>
  </si>
  <si>
    <t>46417-00</t>
  </si>
  <si>
    <t>Преношење тетиве шаке</t>
  </si>
  <si>
    <t>46423-00</t>
  </si>
  <si>
    <t>Секундарна репарација тетиве екстензора шаке</t>
  </si>
  <si>
    <t xml:space="preserve">46426-00 </t>
  </si>
  <si>
    <t>Примарна репарација тетиве флексора шаке, проксимално од фиброзне овојнице тетива флексора прстију (у нивоу метакарпалних главица, А1 пули)</t>
  </si>
  <si>
    <t>46429-00</t>
  </si>
  <si>
    <t xml:space="preserve">Секундарна репарација тетиве флексора шаке, проксимално од фиброзне овојнице тетива флексора прстију (у нивоу метакарпалних главица, А1 пули) </t>
  </si>
  <si>
    <t xml:space="preserve">46432-00 </t>
  </si>
  <si>
    <t>Примарна репарација тетиве флексора шаке, дистално од фиброзне овојнице тетива флексора прстију (у нивоу метакарпалних главица, А1 пули)</t>
  </si>
  <si>
    <t>46435-00</t>
  </si>
  <si>
    <t>46450-00</t>
  </si>
  <si>
    <t>Тендолиза тетиве екстензора шаке</t>
  </si>
  <si>
    <t>46453-00</t>
  </si>
  <si>
    <t>Тендолиза тетиве флексора шаке</t>
  </si>
  <si>
    <t>46456-00</t>
  </si>
  <si>
    <t>Перкутана тендотомија прста на руци</t>
  </si>
  <si>
    <t xml:space="preserve">46465-00 </t>
  </si>
  <si>
    <t>46480-00</t>
  </si>
  <si>
    <t>Ампутација прста која укључује метакарпалну кост</t>
  </si>
  <si>
    <t>46483-00</t>
  </si>
  <si>
    <t>Ревизија ампутационог патрљка на шаци или прсту</t>
  </si>
  <si>
    <t>46489-00</t>
  </si>
  <si>
    <t>Секундарна репарација нокта или лежишта нокта</t>
  </si>
  <si>
    <t>46494-00</t>
  </si>
  <si>
    <t>Ексцизија ганглиона шаке</t>
  </si>
  <si>
    <t xml:space="preserve">46495-01 </t>
  </si>
  <si>
    <t>Ексцизија ганглиона дисталног дела прста шаке</t>
  </si>
  <si>
    <t>46498-00</t>
  </si>
  <si>
    <t xml:space="preserve">Ексцизија ганглиона тетивне овојнице флексора шаке </t>
  </si>
  <si>
    <t xml:space="preserve">46500-00 </t>
  </si>
  <si>
    <t>Ексцизија ганглиона дорзалне стране ручног зглоба</t>
  </si>
  <si>
    <t>46501-00</t>
  </si>
  <si>
    <t>Ексцизија ганглиона воларне стране ручнон зглоба</t>
  </si>
  <si>
    <t>47039-00</t>
  </si>
  <si>
    <t>Отворена репозиција ишчашења интерфалангеалног зглоба шаке</t>
  </si>
  <si>
    <t>47300-01</t>
  </si>
  <si>
    <t>Затворена репозиција прелома дисталног чланка прста на руци са унутрашњом фиксацијом</t>
  </si>
  <si>
    <t>47306-011</t>
  </si>
  <si>
    <t>Отворена репозиција прелома дисталног чланка прста на руци са спољашњом фиксацијом</t>
  </si>
  <si>
    <t xml:space="preserve">47315-01 </t>
  </si>
  <si>
    <t xml:space="preserve">Затворена репозиција унутарзглобног прелома средњег чланка прста на руци са унутрашњом фиксацијом </t>
  </si>
  <si>
    <t xml:space="preserve">47318-01 </t>
  </si>
  <si>
    <t>Отворена репозиција прелома средњег чланка прста на руци са унутрашњом фиксацијом</t>
  </si>
  <si>
    <t xml:space="preserve">47318-011 </t>
  </si>
  <si>
    <t>Отворена репозиција прелома средњег чланка прста на руци са спољашњом фиксацијом</t>
  </si>
  <si>
    <t>47321-00</t>
  </si>
  <si>
    <t>Отворена репозиција прелома средњег чланка прста на руци</t>
  </si>
  <si>
    <t>47324-011</t>
  </si>
  <si>
    <t>Затворена репозиција прелома проксималног чланка прста на руци са спољашњом фиксацијом</t>
  </si>
  <si>
    <t xml:space="preserve">47330-01 </t>
  </si>
  <si>
    <t>47333-01</t>
  </si>
  <si>
    <t>Отворена резопција унутарзглобног прелома проксималног чланка прста на руци са унусташњом</t>
  </si>
  <si>
    <t>47342-01</t>
  </si>
  <si>
    <t>Отворена репозиција прелома метакарпуса са унутрашњом фиксацијом</t>
  </si>
  <si>
    <t>47342-011</t>
  </si>
  <si>
    <t>Отворена репозиција прелома метакарпуса са спољашњом фиксацијом</t>
  </si>
  <si>
    <t>47621-011</t>
  </si>
  <si>
    <t>Затворена репозиција прелома тарзометатарзалног зглоба, са спољашњом фиксацијом</t>
  </si>
  <si>
    <t>47663-011</t>
  </si>
  <si>
    <t>Затворена репозиција прелома чланка палца на нози са спољашњом фиксацијом</t>
  </si>
  <si>
    <t>47906-00</t>
  </si>
  <si>
    <t>Обрада нокта на прсту стопала</t>
  </si>
  <si>
    <t>Уклањање нокта на прсту стопала</t>
  </si>
  <si>
    <t>47915-00</t>
  </si>
  <si>
    <t>Клинаста ресекција ураслог нокта на прсту стопала</t>
  </si>
  <si>
    <t>47981-01</t>
  </si>
  <si>
    <t>Декомпресијска фасциотомија листа</t>
  </si>
  <si>
    <t>47981-02</t>
  </si>
  <si>
    <t>Декомпресиона фасциотомија шаке</t>
  </si>
  <si>
    <t>90548-00</t>
  </si>
  <si>
    <t>Остали пластично-хируршки поступци на шаци</t>
  </si>
  <si>
    <t>90593-01</t>
  </si>
  <si>
    <t>Остали поступци на мишићима, тетивама, фасцијама или бурзама, некласификовани на другом месту</t>
  </si>
  <si>
    <t xml:space="preserve">49800-00 </t>
  </si>
  <si>
    <t>Примарнa репарација тетива флексора или екстензора стопала</t>
  </si>
  <si>
    <t>44325-00</t>
  </si>
  <si>
    <t>Медиокарпална ампутација</t>
  </si>
  <si>
    <t>49803-00</t>
  </si>
  <si>
    <t>Секундарна репарација тетива флексора или екстензора стопала</t>
  </si>
  <si>
    <t>Ушивање мишића оли фасције, некласификовано на друром месту</t>
  </si>
  <si>
    <t xml:space="preserve">СЛУЖБА ЗА ОРТОПЕДИЈУ СА ТРАУМАТОЛОГИЈОМ </t>
  </si>
  <si>
    <t>Израда индивидуалних извештаја (извештаја о хоспитализацији, пријава порођаја, пријава побачаја, потврда о смрти, заразне болести, малигног обољења и др.)</t>
  </si>
  <si>
    <t>Пријава болничка инфекција</t>
  </si>
  <si>
    <t xml:space="preserve">Епидемиолошки надзор над болничким инфекцијама путем инциденције </t>
  </si>
  <si>
    <t>Дезифекција у објекту замагљивањем: по ојекту</t>
  </si>
  <si>
    <t>Екцизијски дребидман меког ткива</t>
  </si>
  <si>
    <t xml:space="preserve">30023-01 </t>
  </si>
  <si>
    <t>Ексцизијски дебридман меког ткива који захвата кост или хрскавицу</t>
  </si>
  <si>
    <t xml:space="preserve">30068-00 </t>
  </si>
  <si>
    <t>Одстрањење странога тела из меког ткива, некласификовано на другом месту</t>
  </si>
  <si>
    <t>47003-00</t>
  </si>
  <si>
    <t>Затворена репозиција ишчашења кључне кости</t>
  </si>
  <si>
    <t>47009-00</t>
  </si>
  <si>
    <t>Затворена репозиција ишчашења рамена</t>
  </si>
  <si>
    <t>47009-011</t>
  </si>
  <si>
    <t>Затворена репозиција ишчашења рамена са спољашњом фиксацијом</t>
  </si>
  <si>
    <t>47012-011</t>
  </si>
  <si>
    <t>Отворена репозиција ишчашења рамена са спољашњом фиксацијом</t>
  </si>
  <si>
    <t xml:space="preserve">47018-00 </t>
  </si>
  <si>
    <t>Затворена репозиција ишчашења лакта</t>
  </si>
  <si>
    <t xml:space="preserve">47018-011 </t>
  </si>
  <si>
    <t>Затворена репозиција ишчашења лакта са спољашњом фиксацијом</t>
  </si>
  <si>
    <t xml:space="preserve">47024-00 </t>
  </si>
  <si>
    <t>Затворена репозиција ишчашења проксималног радио-улнарног зглоба</t>
  </si>
  <si>
    <t xml:space="preserve">47024-02 </t>
  </si>
  <si>
    <t>Затворена репозиција ишчашења дисталног радио-улнарног зглоба</t>
  </si>
  <si>
    <t>47024-031</t>
  </si>
  <si>
    <t>Затворена репозиција ишчашења дисталног радио-улнарног зглоба са спољашњом фиксацијом</t>
  </si>
  <si>
    <t>47030-00</t>
  </si>
  <si>
    <t>Затворена репозиција ишчашења карпуса</t>
  </si>
  <si>
    <t xml:space="preserve">47030-02 </t>
  </si>
  <si>
    <t>Затворена репозиција ишчашења карпометакарпалног зглоба</t>
  </si>
  <si>
    <t>47036-00</t>
  </si>
  <si>
    <t>Затворена репозиција ишчашења интерфалангеалног зглоба шаке</t>
  </si>
  <si>
    <t xml:space="preserve">47048-00 </t>
  </si>
  <si>
    <t>Затворена репозиција ишчашења зглоба кука</t>
  </si>
  <si>
    <t xml:space="preserve">47054-00 </t>
  </si>
  <si>
    <t>Затворена репозиција ишчашења зглоба колена</t>
  </si>
  <si>
    <t xml:space="preserve">47057-00 </t>
  </si>
  <si>
    <t>Затворена репозиција ишчашења пателе</t>
  </si>
  <si>
    <t xml:space="preserve">47063-00 </t>
  </si>
  <si>
    <t>Затворена репозиција ишчашења скочног зглоба</t>
  </si>
  <si>
    <t>47063-011</t>
  </si>
  <si>
    <t>Затворена репозиција ишчашења скочног зглоба са спољашњом фиксацијом</t>
  </si>
  <si>
    <t xml:space="preserve">47069-00 </t>
  </si>
  <si>
    <t xml:space="preserve"> Затворена репозиција ишчашења прста на нози</t>
  </si>
  <si>
    <t xml:space="preserve">47300-00 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</si>
  <si>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</si>
  <si>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</si>
  <si>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</si>
  <si>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</si>
  <si>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</si>
  <si>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>47327-00</t>
  </si>
  <si>
    <t>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</si>
  <si>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</si>
  <si>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</si>
  <si>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47336-011</t>
  </si>
  <si>
    <t>Затворена репозиција прелома метакарпуса са спољашњом фиксацијом</t>
  </si>
  <si>
    <t xml:space="preserve">47360-00 </t>
  </si>
  <si>
    <t>Имобилизација прелома дисталног дела радијуса</t>
  </si>
  <si>
    <t xml:space="preserve">47360-01 </t>
  </si>
  <si>
    <t>Имобилизација прелома дисталног дела улне</t>
  </si>
  <si>
    <t xml:space="preserve">47363-00 </t>
  </si>
  <si>
    <t>Затворена репозиција прелома дисталног дела радијуса</t>
  </si>
  <si>
    <t xml:space="preserve">47363-01 </t>
  </si>
  <si>
    <t>Затворена репозиција прелома дисталног дела улне</t>
  </si>
  <si>
    <t xml:space="preserve">47363-02 </t>
  </si>
  <si>
    <t>Затворена репозиција прелома дисталног дела радијуса са унутрашњом фиксацијом</t>
  </si>
  <si>
    <t>47363-03</t>
  </si>
  <si>
    <t>Затворена репозиција прелома дисталног дела улне са унутрашњом фиксацијом</t>
  </si>
  <si>
    <t xml:space="preserve">47363-021 </t>
  </si>
  <si>
    <t>Затворена репозиција прелома дисталног дела радијуса са спољашњом фиксацијом</t>
  </si>
  <si>
    <t xml:space="preserve">47363-031 </t>
  </si>
  <si>
    <t>Затворена репозиција прелома дисталног дела улне сa спољашњом фиксацијом</t>
  </si>
  <si>
    <t xml:space="preserve">47378-00 </t>
  </si>
  <si>
    <t>Имобилизација прелома тела радијуса</t>
  </si>
  <si>
    <t xml:space="preserve">47378-01 </t>
  </si>
  <si>
    <t>Имобилизација прелома тела улне</t>
  </si>
  <si>
    <t xml:space="preserve">47381-00 </t>
  </si>
  <si>
    <t>Затворена репозиција прелома тела радијуса</t>
  </si>
  <si>
    <t>47381-01</t>
  </si>
  <si>
    <t>Затворена репозиција прелома тела улне</t>
  </si>
  <si>
    <t xml:space="preserve">47381-031 </t>
  </si>
  <si>
    <t>Затворена репозиција прелома тела улне сa спољашњом фиксацијом</t>
  </si>
  <si>
    <t xml:space="preserve">47385-00 </t>
  </si>
  <si>
    <t>Затворена репозиција прелома тела радијуса са ишчашењем</t>
  </si>
  <si>
    <t xml:space="preserve">47385-01 </t>
  </si>
  <si>
    <t>Затворена репозиција прелома тела улне са ишчашењем</t>
  </si>
  <si>
    <t xml:space="preserve">47385-021 </t>
  </si>
  <si>
    <t>Затворена репозиција прелома тела радијуса са ишчашењем и спољашњом фиксацијом</t>
  </si>
  <si>
    <t xml:space="preserve">47385-031 </t>
  </si>
  <si>
    <t>Затворена репозиција прелома тела улне сa ишчашењем са спољашњом фиксацијом</t>
  </si>
  <si>
    <t xml:space="preserve">47387-00 </t>
  </si>
  <si>
    <t>Имобилизација прелома тела радијуса и улне</t>
  </si>
  <si>
    <t xml:space="preserve">47390-00 </t>
  </si>
  <si>
    <t xml:space="preserve">Затворена репозиција прелома тела радијуса и улне </t>
  </si>
  <si>
    <t xml:space="preserve">47390-011 </t>
  </si>
  <si>
    <t>Затворена репозиција прелома тела радијуса и улне са спољашњом фиксацијом</t>
  </si>
  <si>
    <t>47396-00</t>
  </si>
  <si>
    <t>Затворена репозиција прелома олекранона</t>
  </si>
  <si>
    <t xml:space="preserve">47396-011 </t>
  </si>
  <si>
    <t>Затворена репозиција прелома олекранона сa спољашњом фиксацијом</t>
  </si>
  <si>
    <t xml:space="preserve">47405-011 </t>
  </si>
  <si>
    <t>Затворена репозиција прелома главе или врата радијуса са спољашњом фиксацијом</t>
  </si>
  <si>
    <t xml:space="preserve">47423-00 </t>
  </si>
  <si>
    <t>Имобилизација прелома проксималног дела хумеруса</t>
  </si>
  <si>
    <t xml:space="preserve">47426-00 </t>
  </si>
  <si>
    <t>Затворена репозиција прелома проксималног дела хумеруса</t>
  </si>
  <si>
    <t>47426-011</t>
  </si>
  <si>
    <t xml:space="preserve"> Затворена репозиција прелома проксималног дела хумеруса са спољашњом фиксацијом</t>
  </si>
  <si>
    <t xml:space="preserve">47444-00 </t>
  </si>
  <si>
    <t>Имобилизација прелома тела хумеруса</t>
  </si>
  <si>
    <t xml:space="preserve">47447-00 </t>
  </si>
  <si>
    <t>Затворена репозиција прелома тела хумеруса</t>
  </si>
  <si>
    <t xml:space="preserve">47451-001 </t>
  </si>
  <si>
    <t>Затворена репозиција прелома тела хумеруса са спољашњом фиксацијом</t>
  </si>
  <si>
    <t xml:space="preserve">47453-00 </t>
  </si>
  <si>
    <t>Имобилизација прелома дисталног дела хумеруса</t>
  </si>
  <si>
    <t>47456-00</t>
  </si>
  <si>
    <t>Затворена репозиција прелома дисталног дела хумеруса са спољашњом фиксацијом</t>
  </si>
  <si>
    <t xml:space="preserve">47456-011 </t>
  </si>
  <si>
    <t>47462-00</t>
  </si>
  <si>
    <t>Затворена репозиција кључне кости</t>
  </si>
  <si>
    <t xml:space="preserve">47462-011 </t>
  </si>
  <si>
    <t>Затворена репозиција прелома кључне кости са спољашњом фиксацијом</t>
  </si>
  <si>
    <t>47480-00</t>
  </si>
  <si>
    <t>Тракција због прелома карлице</t>
  </si>
  <si>
    <t>47483-00</t>
  </si>
  <si>
    <t>Имобилизација прелома карлице</t>
  </si>
  <si>
    <t>47492-00</t>
  </si>
  <si>
    <t>Имобилизација прелома ацетабулума</t>
  </si>
  <si>
    <t xml:space="preserve">47495-00 </t>
  </si>
  <si>
    <t>Тракција због прелома ацетабулума</t>
  </si>
  <si>
    <t xml:space="preserve">47516-00 </t>
  </si>
  <si>
    <t xml:space="preserve">47516-01 </t>
  </si>
  <si>
    <t>Затворена репозиција прелома фемура</t>
  </si>
  <si>
    <t xml:space="preserve">47531-001 </t>
  </si>
  <si>
    <t>Затворена репозиција прелома фемура са спољашњом фиксацијом</t>
  </si>
  <si>
    <t xml:space="preserve">47543-00 </t>
  </si>
  <si>
    <t xml:space="preserve">Имобилизација прелома медијалног или латералног кондила тибије </t>
  </si>
  <si>
    <t xml:space="preserve">47552-00 </t>
  </si>
  <si>
    <t xml:space="preserve">Имобилизација прелома медијалног и латералног кондила тибије </t>
  </si>
  <si>
    <t xml:space="preserve">47546-00 </t>
  </si>
  <si>
    <t>Затворена репозиција прелома медијалног или латералног кондила тибије</t>
  </si>
  <si>
    <t xml:space="preserve">47561-00 </t>
  </si>
  <si>
    <t>Имобилизација прелома тела тибије</t>
  </si>
  <si>
    <t xml:space="preserve">47564-00 </t>
  </si>
  <si>
    <t>Затворена репозиција прелома тела тибије</t>
  </si>
  <si>
    <t>47566-00</t>
  </si>
  <si>
    <t xml:space="preserve">47566-021 </t>
  </si>
  <si>
    <t>Затворена репозиција унутарзглобног прелома тела тибије са спољашњом фиксацијом</t>
  </si>
  <si>
    <t xml:space="preserve">47566-041 </t>
  </si>
  <si>
    <t>Затворена репозиција фрактуре фибуле са спољашњом фиксацијом</t>
  </si>
  <si>
    <t>47567-00</t>
  </si>
  <si>
    <t>Затворена репозиција унар зглобног прелома тела тибије</t>
  </si>
  <si>
    <t xml:space="preserve">47576-00 </t>
  </si>
  <si>
    <t>Имобилизација прелома фибуле</t>
  </si>
  <si>
    <t xml:space="preserve">47579-00 </t>
  </si>
  <si>
    <t>Имобилизација прелома пателе</t>
  </si>
  <si>
    <t xml:space="preserve">47594-00 </t>
  </si>
  <si>
    <t>Имобилизација прелома скочног зглоба, некласификовано на другом месту</t>
  </si>
  <si>
    <t>47597-00</t>
  </si>
  <si>
    <t>Затворена репозиција прелома скочног зглоба</t>
  </si>
  <si>
    <t xml:space="preserve">47606-00 </t>
  </si>
  <si>
    <t>Имобилизација прелома петне кости</t>
  </si>
  <si>
    <t xml:space="preserve">47606-01 </t>
  </si>
  <si>
    <t>Имобилизација ишчашења петне кости</t>
  </si>
  <si>
    <t xml:space="preserve">47606-02 </t>
  </si>
  <si>
    <t>Имобилизација прелома талуса</t>
  </si>
  <si>
    <t xml:space="preserve">47606-03 </t>
  </si>
  <si>
    <t>Имобилизација ишчашења талуса</t>
  </si>
  <si>
    <t xml:space="preserve">47609-00 </t>
  </si>
  <si>
    <t>Затворена репозиција прелома петне кости</t>
  </si>
  <si>
    <t xml:space="preserve">47609-02 </t>
  </si>
  <si>
    <t xml:space="preserve">Затворена репозиција прелома талуса </t>
  </si>
  <si>
    <t xml:space="preserve">47609-04 </t>
  </si>
  <si>
    <t xml:space="preserve">Затворена репозиција ишчашења талуса </t>
  </si>
  <si>
    <t>47609-05</t>
  </si>
  <si>
    <t>Затворена репозиција ишчашења талуса  са унутрашњом фиксацијом</t>
  </si>
  <si>
    <t xml:space="preserve">47609-06 </t>
  </si>
  <si>
    <t xml:space="preserve">Затворена репозиција ишчашења петне кости </t>
  </si>
  <si>
    <t xml:space="preserve">47612-00 </t>
  </si>
  <si>
    <t xml:space="preserve">Затворена репозиција зглобног прелома петне кости </t>
  </si>
  <si>
    <t xml:space="preserve">47612-04 </t>
  </si>
  <si>
    <t>Затворена репозиција прелома талуса са ишчашењем</t>
  </si>
  <si>
    <t xml:space="preserve">47621-00 </t>
  </si>
  <si>
    <t>Затворена репозиција прелома тарзометатарзалног зглоба</t>
  </si>
  <si>
    <t xml:space="preserve">47627-00 </t>
  </si>
  <si>
    <t>Имобилизација прелома тарзуса</t>
  </si>
  <si>
    <t xml:space="preserve">47633-00 </t>
  </si>
  <si>
    <t>Имобилизација прелома метатарзуса</t>
  </si>
  <si>
    <t>47636-00</t>
  </si>
  <si>
    <t>Затворена репозиција прелома метатарзуса</t>
  </si>
  <si>
    <t>47663-00</t>
  </si>
  <si>
    <t xml:space="preserve">Затворена репозиција прелома чланка палца на нози </t>
  </si>
  <si>
    <t>47666-00</t>
  </si>
  <si>
    <t>Отворена репозиција прелома чланка палца на нози</t>
  </si>
  <si>
    <t>47684-00</t>
  </si>
  <si>
    <t>Имобилизација прелома /ишчашења кичме</t>
  </si>
  <si>
    <t>47726-00</t>
  </si>
  <si>
    <t>Узимање калема кости кроз одвојену инцизију</t>
  </si>
  <si>
    <t>47921-00</t>
  </si>
  <si>
    <t>Инсерција унутрашњег фиксатора кости, некласификовано на другом месту</t>
  </si>
  <si>
    <t xml:space="preserve">49721-00 </t>
  </si>
  <si>
    <t>Имобилизација код повреда, обољења и стања Ахилове тетиве</t>
  </si>
  <si>
    <t xml:space="preserve">49821-00 </t>
  </si>
  <si>
    <t>Исправљање halux valgus-а или halux rigidus-а помоћу артропластике, једнострано</t>
  </si>
  <si>
    <t xml:space="preserve">50124-00 </t>
  </si>
  <si>
    <t>Аспирација зглоба или неке друге синовијске шупљине, некласификована на другом месту</t>
  </si>
  <si>
    <t xml:space="preserve">50124-01 </t>
  </si>
  <si>
    <t xml:space="preserve">Инјекција у зглоб или неку другу синовијску шупљину, некласификована на другом месту </t>
  </si>
  <si>
    <t xml:space="preserve">50352-00 </t>
  </si>
  <si>
    <t>Имобилизација ишчашеног зглоба кука</t>
  </si>
  <si>
    <t>90018-00</t>
  </si>
  <si>
    <t>Епидурална инјекција осталих или комбинованих терапеутских супстанци</t>
  </si>
  <si>
    <t xml:space="preserve">90541-00 </t>
  </si>
  <si>
    <t>Затворена репозиција раздвојених епифиза радијуса или улне</t>
  </si>
  <si>
    <t>90545-00</t>
  </si>
  <si>
    <t>Инцизија меких ткива шаке</t>
  </si>
  <si>
    <t xml:space="preserve">90560-00 </t>
  </si>
  <si>
    <t>Инјекција другог средства у меко ткиво, некласификована на другом месту</t>
  </si>
  <si>
    <t xml:space="preserve">90568-01 </t>
  </si>
  <si>
    <t>Инцизија бурзе, некласификована на другом месту</t>
  </si>
  <si>
    <t xml:space="preserve">90568-02 </t>
  </si>
  <si>
    <t>Инцизија меког ткива, некласификована на другом месту</t>
  </si>
  <si>
    <t xml:space="preserve">90580-00 </t>
  </si>
  <si>
    <t>Дебридман места отвореног прелома</t>
  </si>
  <si>
    <t>90765-00</t>
  </si>
  <si>
    <t>Израда и подешавање уређаја за имобилизацију, једноставна</t>
  </si>
  <si>
    <t>90765-01</t>
  </si>
  <si>
    <t>Израда и подешавање уређаја за имобилизацију, средњекоплексна</t>
  </si>
  <si>
    <t xml:space="preserve">Примена лека за респираторни систем помоћу небулизатора </t>
  </si>
  <si>
    <t>92518-00</t>
  </si>
  <si>
    <r>
      <t xml:space="preserve">Интравенска пост-процедурална инфузија, аналгезија контролисана од стране пацијента </t>
    </r>
    <r>
      <rPr>
        <i/>
        <sz val="10"/>
        <rFont val="Times New Roman"/>
        <family val="1"/>
        <charset val="238"/>
      </rPr>
      <t>(PCA)</t>
    </r>
  </si>
  <si>
    <t xml:space="preserve">96021-00 </t>
  </si>
  <si>
    <t xml:space="preserve">96023-00 </t>
  </si>
  <si>
    <t>Процена старења</t>
  </si>
  <si>
    <t xml:space="preserve">96024-00 </t>
  </si>
  <si>
    <t xml:space="preserve">Процена потребе за уређајем или опремом која служи као помоћ </t>
  </si>
  <si>
    <t xml:space="preserve"> Саветовање или подучавање о помагалима или уређајима за прилагођавање </t>
  </si>
  <si>
    <t xml:space="preserve">96075-00 </t>
  </si>
  <si>
    <t xml:space="preserve">Саветовање или подучавање о бризи о самом себи </t>
  </si>
  <si>
    <t xml:space="preserve">96079-00 </t>
  </si>
  <si>
    <t xml:space="preserve">Ситуационо/професионално саветовање или подучавање </t>
  </si>
  <si>
    <t xml:space="preserve">96093-00 </t>
  </si>
  <si>
    <t>Поправак помагала или уређаја за прилагођавање</t>
  </si>
  <si>
    <t>96126-00</t>
  </si>
  <si>
    <t>96156-00</t>
  </si>
  <si>
    <t>Терапијско затварање ока завојем</t>
  </si>
  <si>
    <t>Субкутано давање фармаколошког средства, антинеопластично  средство</t>
  </si>
  <si>
    <t>Субуктивно давање фармаколошког средства дрго некласификовано фармаколошко средство</t>
  </si>
  <si>
    <t>Нееназначен начин давања фармаколошког средства, друго и некласификовано фармаколошко средство</t>
  </si>
  <si>
    <t>30216-00</t>
  </si>
  <si>
    <t>Аспирација хематома из коже и поткожног ткива</t>
  </si>
  <si>
    <t>90669-00</t>
  </si>
  <si>
    <t>Ексцизија коже за трансплант</t>
  </si>
  <si>
    <t>90686-00</t>
  </si>
  <si>
    <t xml:space="preserve">Обрада опекотине без ексцизије </t>
  </si>
  <si>
    <t>Узимање биолошког материјала  за микробиолошки преглед</t>
  </si>
  <si>
    <t>Узимање биолошког материјала  за микробиолошки преглед у транспортну подлогу</t>
  </si>
  <si>
    <t>УСЛУГЕ  ПЛАСТИЧНЕ ХИРУРГИЈЕ</t>
  </si>
  <si>
    <t>009150</t>
  </si>
  <si>
    <t>Некректомија по сеанси</t>
  </si>
  <si>
    <t>Зауставлјанје крваренја хируршким путем</t>
  </si>
  <si>
    <t>30017-01</t>
  </si>
  <si>
    <t>Обрада опекотине са ексцизијом, мање од 10% површине тела је обрађено или ексцидирано</t>
  </si>
  <si>
    <t xml:space="preserve">30023-00 </t>
  </si>
  <si>
    <t>Ексцизијски дебридман меког ткива</t>
  </si>
  <si>
    <t>30195-06</t>
  </si>
  <si>
    <t>Електротерапија лезија на кожи,појединачна лезија</t>
  </si>
  <si>
    <t>Инцизија и дренажа хеематома коже и подкожног ткива</t>
  </si>
  <si>
    <t>Инцизија и дренажа апсцеса коже и подкожног ткива</t>
  </si>
  <si>
    <t>46486-00</t>
  </si>
  <si>
    <t>Примарна репарација нокта или лежишта нокта</t>
  </si>
  <si>
    <t>46516-00</t>
  </si>
  <si>
    <t>Обрада нокта на прсту шаке</t>
  </si>
  <si>
    <t>47042-00</t>
  </si>
  <si>
    <t xml:space="preserve">Затворена репозиција ишчашења метакарпофалангеалног зглоба </t>
  </si>
  <si>
    <t>47312-01</t>
  </si>
  <si>
    <t>Затворена репозиција преломс средњег члснкс прста на руци са унутрашњом фикцијом</t>
  </si>
  <si>
    <t xml:space="preserve">47324-01 </t>
  </si>
  <si>
    <t>Затворена репозиција прелома проксималног чланка прста на руци са унутрашњом фиксацијом</t>
  </si>
  <si>
    <t>47918-00</t>
  </si>
  <si>
    <t>Радикална ексцизија лежишта ураслог нокта на прсту стопала</t>
  </si>
  <si>
    <t>Ињекција у зглоб или неку другу синовијску шупљину, некласификована на другом месту</t>
  </si>
  <si>
    <t>Интравенско даванје фармакол.сред.анти-инфективно средство</t>
  </si>
  <si>
    <t>Пуњење уређаја за давање лека, фармаколошко средство</t>
  </si>
  <si>
    <t>УСЛУГЕ - УКУПНО</t>
  </si>
  <si>
    <t>30614-02</t>
  </si>
  <si>
    <t>Репарација ингвиналне херније, једнострано</t>
  </si>
  <si>
    <t>30635-00</t>
  </si>
  <si>
    <t>Операција варикоцеле (субингвинална)</t>
  </si>
  <si>
    <t>Општа анестезија; АСА 29</t>
  </si>
  <si>
    <t>Превијанје ране</t>
  </si>
  <si>
    <t xml:space="preserve">УКУПНО - ОПЕРАЦИЈЕ </t>
  </si>
  <si>
    <t xml:space="preserve">УКУПНО </t>
  </si>
  <si>
    <t>090007</t>
  </si>
  <si>
    <t>Испитивање психомоторног развоја у најранијем детињству до 5 година старости</t>
  </si>
  <si>
    <t>090200</t>
  </si>
  <si>
    <t>Пријава и контрола пријава малигних, инфективних и неуропсихијатријских обољења</t>
  </si>
  <si>
    <t>Антишк терапија</t>
  </si>
  <si>
    <t xml:space="preserve">11500-00 </t>
  </si>
  <si>
    <t>11503-00</t>
  </si>
  <si>
    <t>Мерење снаге дисајних мишића укључујићи и трансдијафрагмалне или езофагијалне притиске</t>
  </si>
  <si>
    <t xml:space="preserve">11503-04 </t>
  </si>
  <si>
    <t xml:space="preserve">Тест оптерећења у сврху процене респираторног статуса </t>
  </si>
  <si>
    <t xml:space="preserve">11506-002 </t>
  </si>
  <si>
    <t>Добијање индукованог спутума инхалацијом аеросола</t>
  </si>
  <si>
    <t xml:space="preserve">11512-00 </t>
  </si>
  <si>
    <t xml:space="preserve">Континуирано мерење односа између протока и волумена током издисаја или удисаја </t>
  </si>
  <si>
    <t xml:space="preserve">11724-00 </t>
  </si>
  <si>
    <r>
      <t>Тестирање усправљања - „</t>
    </r>
    <r>
      <rPr>
        <i/>
        <sz val="10"/>
        <rFont val="Times New Roman"/>
        <family val="1"/>
        <charset val="238"/>
      </rPr>
      <t xml:space="preserve">tilt table“ </t>
    </r>
    <r>
      <rPr>
        <sz val="10"/>
        <rFont val="Times New Roman"/>
        <family val="1"/>
        <charset val="238"/>
      </rPr>
      <t>тест</t>
    </r>
  </si>
  <si>
    <t xml:space="preserve">11919-00 </t>
  </si>
  <si>
    <r>
      <t>Микциона цистоуретрографија</t>
    </r>
    <r>
      <rPr>
        <sz val="10"/>
        <color indexed="8"/>
        <rFont val="Times New Roman"/>
        <family val="1"/>
        <charset val="238"/>
      </rPr>
      <t xml:space="preserve"> </t>
    </r>
  </si>
  <si>
    <t>13300-00</t>
  </si>
  <si>
    <t>Катетеризација/канилација осталих вена новорођенчета</t>
  </si>
  <si>
    <t>13300-01</t>
  </si>
  <si>
    <t>Катетеризација/канилација преко скалпа код новорођенчета</t>
  </si>
  <si>
    <t>13706-03</t>
  </si>
  <si>
    <t xml:space="preserve">13706-05 </t>
  </si>
  <si>
    <t xml:space="preserve"> Трансфузија гама глобулина </t>
  </si>
  <si>
    <t>Израда годишњег плана набавке лекова и медицинских средстава</t>
  </si>
  <si>
    <t>Саветовање или информисање пацијената о примени прописаног лека</t>
  </si>
  <si>
    <t>Саветовање или информисање медицинског осибља о начину примене лека (реконституисање, пут примене, дужина давања инјекције/инфузије, интеракције ин битро...)</t>
  </si>
  <si>
    <t>Консултације са лекарима везано за фармакотерапију (услугу обавља специјалиста)</t>
  </si>
  <si>
    <t>Праћење потенцијално нежељене реакције пацијента на лек</t>
  </si>
  <si>
    <t>Отварање медицинске документације или уписивање у здравствену документацију</t>
  </si>
  <si>
    <t>260074</t>
  </si>
  <si>
    <t>Епидемиолошка анкета код заразних болести</t>
  </si>
  <si>
    <t>260105</t>
  </si>
  <si>
    <t>Депедикулација косматих делова тела</t>
  </si>
  <si>
    <t>270101</t>
  </si>
  <si>
    <t xml:space="preserve">Антропометријска мерења код испитивања ухрањености појединца: </t>
  </si>
  <si>
    <t>270102</t>
  </si>
  <si>
    <t xml:space="preserve">Одређивање антропометријских индекса код испитивања ухрањености </t>
  </si>
  <si>
    <t>270103</t>
  </si>
  <si>
    <t>Оцена резултата биохемијских показатеља крви и урина, оцена</t>
  </si>
  <si>
    <t>270104</t>
  </si>
  <si>
    <t>Анкета исхране за појединца (квантитативне и семиквантитативне анкете исхране: анкета по сећању за 24 часа, тродневни, седмодневни дневник исхране)</t>
  </si>
  <si>
    <t>270105</t>
  </si>
  <si>
    <t>Израда дијетотерапије/дијетопрофилаксе за појединца контролни</t>
  </si>
  <si>
    <t>270107</t>
  </si>
  <si>
    <t xml:space="preserve">Израда предлога/примера исхране за различита патолошка стања (листа </t>
  </si>
  <si>
    <t>270110</t>
  </si>
  <si>
    <t>Израда препорука за исхрану у стационарним здравственим установама</t>
  </si>
  <si>
    <t>Уклањање страног тела из коже и подкожног ткива без инцизије</t>
  </si>
  <si>
    <t>М-приказ и дводимензионални ултразвучни преглед срца у реалном времену  ***SRCE</t>
  </si>
  <si>
    <t xml:space="preserve">81887-02 </t>
  </si>
  <si>
    <t>90137-00</t>
  </si>
  <si>
    <t>Остале процедуре на језику</t>
  </si>
  <si>
    <t>90222-01</t>
  </si>
  <si>
    <t>Остале процедуре на венама</t>
  </si>
  <si>
    <t>Примена средства у кожи и подкожном ткиву</t>
  </si>
  <si>
    <t>90676-00</t>
  </si>
  <si>
    <t>Остале процедуре на кожи и пдкожном ткиву</t>
  </si>
  <si>
    <t xml:space="preserve">Остале процедуре фототерапије на кожи </t>
  </si>
  <si>
    <t>Обрада коже и подкожног ткива без екцезије</t>
  </si>
  <si>
    <t xml:space="preserve">92001-001 </t>
  </si>
  <si>
    <t>92003-00</t>
  </si>
  <si>
    <t>Детоксикација од алкохола</t>
  </si>
  <si>
    <t>92008-00</t>
  </si>
  <si>
    <t>Комбинована рехабилитација од алкохола и дрога</t>
  </si>
  <si>
    <t>92042-00</t>
  </si>
  <si>
    <t xml:space="preserve">Немеханичка метода реанимације / оживљавања </t>
  </si>
  <si>
    <t xml:space="preserve">92064-00 </t>
  </si>
  <si>
    <t>92132-00</t>
  </si>
  <si>
    <t>Превлачење препуцијума</t>
  </si>
  <si>
    <t>92164-00</t>
  </si>
  <si>
    <t>Примена осталих антитоксина</t>
  </si>
  <si>
    <t>95550-00</t>
  </si>
  <si>
    <t>Удружене здравствене процедуре, дијететика</t>
  </si>
  <si>
    <t>95550-11</t>
  </si>
  <si>
    <t>Удружене здравствене процедуре, друго</t>
  </si>
  <si>
    <t>96010-00</t>
  </si>
  <si>
    <t>Процена функције гутања</t>
  </si>
  <si>
    <t>96012-00</t>
  </si>
  <si>
    <t>Процена говора</t>
  </si>
  <si>
    <t>96019-00</t>
  </si>
  <si>
    <t>Биомеханичка процена</t>
  </si>
  <si>
    <t xml:space="preserve">96026-00 </t>
  </si>
  <si>
    <t>Процена исхране/дневног уноса хране (мерење подоја)</t>
  </si>
  <si>
    <t xml:space="preserve">96031-00 </t>
  </si>
  <si>
    <t>Процена родитељских вештина</t>
  </si>
  <si>
    <t>Превентивно саветовање или подучавање</t>
  </si>
  <si>
    <t>Саветовање или подучавање о губитку слуха или поремећајима слуха</t>
  </si>
  <si>
    <t>96079-00</t>
  </si>
  <si>
    <t>Ситуационо/професионално саветовање или подучавање</t>
  </si>
  <si>
    <t>96089-00</t>
  </si>
  <si>
    <t xml:space="preserve"> Подучавање о правима и могућностима пацијента</t>
  </si>
  <si>
    <t xml:space="preserve">96095-00 </t>
  </si>
  <si>
    <t>Подршка терапеутској дијети</t>
  </si>
  <si>
    <t>96132-00</t>
  </si>
  <si>
    <t>Увежбавање вештина у вези са слухом</t>
  </si>
  <si>
    <t>L014118</t>
  </si>
  <si>
    <t xml:space="preserve">Леукоцитирана формула - ручно </t>
  </si>
  <si>
    <t>L014126</t>
  </si>
  <si>
    <t>Леукоцитирана формула - ручно са посебном индетификацијом патолошких ћелија</t>
  </si>
  <si>
    <t>Израда дијетотерапије/дијетопрофилаксе за појединца први долазак</t>
  </si>
  <si>
    <t xml:space="preserve">Процена исхране/дневног уноса хране </t>
  </si>
  <si>
    <t>13112-00</t>
  </si>
  <si>
    <t>Успостављање перитонеалне дијализе помоћу пункције абдомена и инсерције привременог катетера</t>
  </si>
  <si>
    <t>13109-00</t>
  </si>
  <si>
    <t>Уградња и фиксација пребивајућег перитонеалног катетера ради дугорочне перитонеалне дијализе</t>
  </si>
  <si>
    <t>13109-01</t>
  </si>
  <si>
    <t>Замена пребивајућег перитонеуналног катетера ради перитонеалне дијализе</t>
  </si>
  <si>
    <t>30075-27</t>
  </si>
  <si>
    <t>Биопсија промене на пенису</t>
  </si>
  <si>
    <t xml:space="preserve">30394-00 </t>
  </si>
  <si>
    <t xml:space="preserve">Дренажа интра-абдоминалног апсцеса, хематома или цисте </t>
  </si>
  <si>
    <t xml:space="preserve">30394-01 </t>
  </si>
  <si>
    <t>Лапароскопска дренажа интра-абдоминалног апсцеса, хематома или цисте</t>
  </si>
  <si>
    <t xml:space="preserve">30571-00 </t>
  </si>
  <si>
    <t xml:space="preserve">Апендектомија </t>
  </si>
  <si>
    <t xml:space="preserve">30614-02 </t>
  </si>
  <si>
    <t>30631-00</t>
  </si>
  <si>
    <t>Операција хидроцеле и /или фуникулоцеле</t>
  </si>
  <si>
    <t>30641-001</t>
  </si>
  <si>
    <t>Радикална орхидектомија, једнострана</t>
  </si>
  <si>
    <t>30641-00</t>
  </si>
  <si>
    <t>Орхидектомија, једнострана</t>
  </si>
  <si>
    <t>30641-01</t>
  </si>
  <si>
    <t>Орхидектомија, обострана</t>
  </si>
  <si>
    <t>30641-011</t>
  </si>
  <si>
    <t>Радикална орхидектомија, обострана</t>
  </si>
  <si>
    <t>30644-01</t>
  </si>
  <si>
    <t>Експлорација сперматичне врпце</t>
  </si>
  <si>
    <t>30644-04</t>
  </si>
  <si>
    <t>Биопсија тестиса, једнострана - отворена</t>
  </si>
  <si>
    <t>30644-05</t>
  </si>
  <si>
    <t>Биопсија тестиса, обострана - отворена</t>
  </si>
  <si>
    <t>30644-07</t>
  </si>
  <si>
    <t>Ексцизија лезија тестиса</t>
  </si>
  <si>
    <t>30644-08</t>
  </si>
  <si>
    <t>Ексцизија лезија семене врпце или епидидимиса</t>
  </si>
  <si>
    <t>30644-12</t>
  </si>
  <si>
    <t>Остале процедуре на сперматичној врпси, епидидимису или семоводу (vas deferens(</t>
  </si>
  <si>
    <t>30653-00</t>
  </si>
  <si>
    <t>Циркумцизија (обрезивање) мушкарца</t>
  </si>
  <si>
    <t>32003-01</t>
  </si>
  <si>
    <t>Десна хемиколектомија са анастомозом</t>
  </si>
  <si>
    <t xml:space="preserve">32203-00 </t>
  </si>
  <si>
    <t>Анална или перинеална грацилопластика</t>
  </si>
  <si>
    <t>36516-01</t>
  </si>
  <si>
    <t xml:space="preserve">Нефректомија једнострана -  отворена хирургија (примарни рад)                                   </t>
  </si>
  <si>
    <t>36519-03</t>
  </si>
  <si>
    <t>Нефректомија предходно оперисаног бубрега – отворена хирургија (секундарни рад)</t>
  </si>
  <si>
    <t>36522-01</t>
  </si>
  <si>
    <t>Парцијална нефректомија-отворена хирургија (примарни рад)</t>
  </si>
  <si>
    <t>36528-01</t>
  </si>
  <si>
    <t>Радикална нефректомија због тумора бружног паренхима-отворена хирургија (примарни рад)</t>
  </si>
  <si>
    <t>36531-01</t>
  </si>
  <si>
    <t>Нефроуретеректомија (нефректомија са тоталном уретеректомијом) - отворена хирургија (примарни рад)</t>
  </si>
  <si>
    <t>36537-00</t>
  </si>
  <si>
    <t xml:space="preserve">Експлорација периреналног простора са дренажом </t>
  </si>
  <si>
    <t>36540-00</t>
  </si>
  <si>
    <r>
      <t xml:space="preserve">Нефролитотомија са одстрањењем </t>
    </r>
    <r>
      <rPr>
        <sz val="10"/>
        <rFont val="Times New Roman"/>
        <family val="1"/>
      </rPr>
      <t>≤</t>
    </r>
    <r>
      <rPr>
        <sz val="11"/>
        <rFont val="Times New Roman"/>
        <family val="1"/>
        <charset val="238"/>
      </rPr>
      <t xml:space="preserve"> 2 калкулуса</t>
    </r>
  </si>
  <si>
    <t>36549-00</t>
  </si>
  <si>
    <t>Уретеролитотомија-отворена хирургија</t>
  </si>
  <si>
    <t>36558-01</t>
  </si>
  <si>
    <t xml:space="preserve">Ексцизија цисте бубрега – отворена хирургија  </t>
  </si>
  <si>
    <t>36558-02</t>
  </si>
  <si>
    <t>Екција осталих лезија бубрега неозначено - једна</t>
  </si>
  <si>
    <t>36564-01</t>
  </si>
  <si>
    <t>Пијелопластика</t>
  </si>
  <si>
    <t>36579-01</t>
  </si>
  <si>
    <t>Парцијална уретеректомија</t>
  </si>
  <si>
    <t>36585-01</t>
  </si>
  <si>
    <t>Формирање кутане уретеростомије (једнострано) - отворена хирургија</t>
  </si>
  <si>
    <t>36594-01</t>
  </si>
  <si>
    <t>Уретеро-ентеростомија или уретеросигмоидостомија (једнострана) –отворена хирургија</t>
  </si>
  <si>
    <t>36618-01</t>
  </si>
  <si>
    <t>Редукцијска уретеропластика (моделажа уретера) – отворена хирургија</t>
  </si>
  <si>
    <t>36652-00</t>
  </si>
  <si>
    <t xml:space="preserve">Ретроградна уретерореноскопија </t>
  </si>
  <si>
    <t>36652-01</t>
  </si>
  <si>
    <r>
      <t xml:space="preserve">Ретроградна уретeрореноскопија са </t>
    </r>
    <r>
      <rPr>
        <i/>
        <sz val="10"/>
        <rFont val="Times New Roman"/>
        <family val="1"/>
        <charset val="238"/>
      </rPr>
      <t>push back</t>
    </r>
    <r>
      <rPr>
        <sz val="10"/>
        <rFont val="Times New Roman"/>
        <family val="1"/>
        <charset val="238"/>
      </rPr>
      <t xml:space="preserve"> манипулацијом калкулуса у бубрег</t>
    </r>
  </si>
  <si>
    <t>36656-00</t>
  </si>
  <si>
    <t>Ретроградна уретероскопија са фрагментацијом камена у бубрегу</t>
  </si>
  <si>
    <t>36656-01</t>
  </si>
  <si>
    <t>Ретроградна уретероскопија са фрагментацијом и екстракцијом реналног камена</t>
  </si>
  <si>
    <t>36803-00</t>
  </si>
  <si>
    <t>36803-01</t>
  </si>
  <si>
    <t>Ендоскопска дилетација уретера-сондирање (цистоскопски)</t>
  </si>
  <si>
    <t>36806-02</t>
  </si>
  <si>
    <t>Ендоскопска екстракција калкулуса из уретера без фрагментације  (уретерореноскопски)</t>
  </si>
  <si>
    <t>36815-00</t>
  </si>
  <si>
    <t>Ендоскопско уништавање кондилома пениса</t>
  </si>
  <si>
    <t>36818-00</t>
  </si>
  <si>
    <t>Ендоскопска катетеризација уретера са ретроградном уретеропијелографијом (Chevassu) - једнострана</t>
  </si>
  <si>
    <t>36821-00</t>
  </si>
  <si>
    <t>Ендоскопска биопсија пијелона (brush)</t>
  </si>
  <si>
    <t>36824-00</t>
  </si>
  <si>
    <t>Ендоскопска катетеризација  уретера – једнострана</t>
  </si>
  <si>
    <t>36824-01</t>
  </si>
  <si>
    <t>Ендоскопска катетеризација  уретера – обострано</t>
  </si>
  <si>
    <t>36833-00</t>
  </si>
  <si>
    <t>Ендоскопско уклањање страног тела из мокраћне бешике</t>
  </si>
  <si>
    <t>36840-02</t>
  </si>
  <si>
    <t>Ендоскопска ресекција појединачне лезије мокраћне бешике ≤ 2 цм или ткива мокраћне бешике</t>
  </si>
  <si>
    <t>36840-03</t>
  </si>
  <si>
    <t>Ендоскопска електрокаутеризација једне промене мокраћне бешике ≤ 2 цм</t>
  </si>
  <si>
    <t>36845-04</t>
  </si>
  <si>
    <t xml:space="preserve">Ендоскопска ресекција појединачне лезије  мокраћне бешике промера &gt;2 цм                  </t>
  </si>
  <si>
    <t>36845-05</t>
  </si>
  <si>
    <t>Ендоскопска ресекција мултиплих лезија мокраћне бешике</t>
  </si>
  <si>
    <t>36845-06</t>
  </si>
  <si>
    <t>36845-07</t>
  </si>
  <si>
    <t>Ендоскопска електрокаутеризација мултиплих промена мокраћне бешике</t>
  </si>
  <si>
    <t>36854-00</t>
  </si>
  <si>
    <t>Ендоскопска инцизија врата мокраћне бешике-трансуретрална инцизија врата мокраћне бешике</t>
  </si>
  <si>
    <t>36854-02</t>
  </si>
  <si>
    <t>Трансуретрална ресекција врата мокраћне бешике</t>
  </si>
  <si>
    <t>36863-00</t>
  </si>
  <si>
    <t>Литолапаксија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</si>
  <si>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</si>
  <si>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</si>
  <si>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37004-02</t>
  </si>
  <si>
    <t>Остале репаративне операције на мокраћној бешици - отворена хирургија</t>
  </si>
  <si>
    <t>37004-03</t>
  </si>
  <si>
    <t>Репарација руптуре мокраћне бешике -отворена хирургија</t>
  </si>
  <si>
    <t>37008-01</t>
  </si>
  <si>
    <t>Цистотомија са пласирањем супрапубичног катетера-отворена хирургија</t>
  </si>
  <si>
    <t>37008-03</t>
  </si>
  <si>
    <t>Цистолитотомија – отворена хирургија</t>
  </si>
  <si>
    <t>37008-04</t>
  </si>
  <si>
    <t>Уклањање страног тела из мокраћне бешике - лапароскопски</t>
  </si>
  <si>
    <t>37008-05</t>
  </si>
  <si>
    <t>Уклањање страног тела из мокраћне бешике - отворена хирургија</t>
  </si>
  <si>
    <t>37014-00</t>
  </si>
  <si>
    <t>Тотална ексцизија мокраћне бешике - отворена хирургија</t>
  </si>
  <si>
    <t>37020-01</t>
  </si>
  <si>
    <t>Екцизија дивертикулума мокраћне бешике-отворене хирургија</t>
  </si>
  <si>
    <t>37029-01</t>
  </si>
  <si>
    <t>Затварање везико-вагиналне фистуле - отворена хирургија</t>
  </si>
  <si>
    <t>37043-00</t>
  </si>
  <si>
    <r>
      <t xml:space="preserve">Трансвагинална суспензија код стрес инконтиненције код жена </t>
    </r>
    <r>
      <rPr>
        <i/>
        <sz val="10"/>
        <rFont val="Times New Roman"/>
        <family val="1"/>
        <charset val="238"/>
      </rPr>
      <t>(Kelly, Stamey)</t>
    </r>
  </si>
  <si>
    <t>37200-03</t>
  </si>
  <si>
    <t>Супрапубична простатектомија</t>
  </si>
  <si>
    <t>37203-00</t>
  </si>
  <si>
    <r>
      <t>Трансуретрална ресекција простате [</t>
    </r>
    <r>
      <rPr>
        <i/>
        <sz val="10"/>
        <rFont val="Times New Roman"/>
        <family val="1"/>
        <charset val="238"/>
      </rPr>
      <t>TURP</t>
    </r>
    <r>
      <rPr>
        <sz val="10"/>
        <rFont val="Times New Roman"/>
        <family val="1"/>
        <charset val="238"/>
      </rPr>
      <t>]</t>
    </r>
  </si>
  <si>
    <t>37209-00</t>
  </si>
  <si>
    <t>Радикална простатектомија</t>
  </si>
  <si>
    <t>37210-00</t>
  </si>
  <si>
    <t>Радикална простатектомија са реконструкцијом врата мокраћне бешике</t>
  </si>
  <si>
    <t>37211-00</t>
  </si>
  <si>
    <t>Радикална простатектомија са реконструкцијом врата мокраћне бешике и пелвичном лимфаденектомијом</t>
  </si>
  <si>
    <t>37212-00</t>
  </si>
  <si>
    <t>Биопсија простате</t>
  </si>
  <si>
    <t>37321-00</t>
  </si>
  <si>
    <t>Инцизија спољашњег отвора уретре (меатотомија)</t>
  </si>
  <si>
    <t>37340-00</t>
  </si>
  <si>
    <t>Уклањање уретралног слинга (ТОТ,ТVТ)</t>
  </si>
  <si>
    <t>37354-00</t>
  </si>
  <si>
    <t>Меатотомија и хемициркумзиција због хипоспадије</t>
  </si>
  <si>
    <t>37393-01</t>
  </si>
  <si>
    <t xml:space="preserve">Декомпресија пријапизма </t>
  </si>
  <si>
    <t>37408-01</t>
  </si>
  <si>
    <t>Сутура кавернозних тела код руптуре/фрактуре пениса</t>
  </si>
  <si>
    <t>37435-00</t>
  </si>
  <si>
    <t>Пластика френулума (френулотомија)</t>
  </si>
  <si>
    <t>37438-00</t>
  </si>
  <si>
    <t>Парцијална ексцизија лезије на скротуму</t>
  </si>
  <si>
    <t>37444-01</t>
  </si>
  <si>
    <t>Уретеролитотомија на претходно оперисаном уретеру - отворена хирургија (секундарни рад)</t>
  </si>
  <si>
    <t>37601-02</t>
  </si>
  <si>
    <t>Ексцизија цисте епидидимиса, једнострано</t>
  </si>
  <si>
    <t>37601-03</t>
  </si>
  <si>
    <t xml:space="preserve">Ексцизија цисте епидидимиса, обострано </t>
  </si>
  <si>
    <t>37604-00</t>
  </si>
  <si>
    <t xml:space="preserve">Експлорација скроталног садржаја, једнострано </t>
  </si>
  <si>
    <t>37604-01</t>
  </si>
  <si>
    <t>Експлорација скроталног садржаја, обострано</t>
  </si>
  <si>
    <t>37604-02</t>
  </si>
  <si>
    <t>Експлпорација скроталног садржаја са биопсијом, једнострано</t>
  </si>
  <si>
    <t>37604-04</t>
  </si>
  <si>
    <t>Експлпрација скроталног садржаја са фиксацијом тестиса</t>
  </si>
  <si>
    <t>37604-05</t>
  </si>
  <si>
    <t>Експлпрација скроталног садржаја са фиксацијом тестиса, обострано</t>
  </si>
  <si>
    <t>37604-07</t>
  </si>
  <si>
    <t>Поновна фиксација тестиса, једнострана</t>
  </si>
  <si>
    <t>37803-00</t>
  </si>
  <si>
    <t>Орхидопексија неспуштног тестиса, једнострана</t>
  </si>
  <si>
    <t>37803-01</t>
  </si>
  <si>
    <t>Орхидопексија неспуштног тестиса, обострана</t>
  </si>
  <si>
    <t>37809-00</t>
  </si>
  <si>
    <t>Ревизија орхидопексија неспуштног тестиса, једнострана</t>
  </si>
  <si>
    <t>37818-00</t>
  </si>
  <si>
    <t>Пластика гланса пениса због хипоспадије</t>
  </si>
  <si>
    <t>90350-00</t>
  </si>
  <si>
    <t>Остале репарације бубрега</t>
  </si>
  <si>
    <t>90354-00</t>
  </si>
  <si>
    <t>Остале процедуре на бубрегу</t>
  </si>
  <si>
    <t>90360-00</t>
  </si>
  <si>
    <t>Ексцизија осталих лезија мокраћне бешике-отворена хирургија</t>
  </si>
  <si>
    <t>90366-00</t>
  </si>
  <si>
    <t>Остале процедуре на уринарном систему</t>
  </si>
  <si>
    <t>90398-01</t>
  </si>
  <si>
    <t>Остале процедуре на скротуму или туники вагиналис</t>
  </si>
  <si>
    <t>90397-01</t>
  </si>
  <si>
    <t>Остале операције репарације на скротуму или туники вагиналис</t>
  </si>
  <si>
    <t>90399-00</t>
  </si>
  <si>
    <t>Редукција торзије тестиса или семене врпце</t>
  </si>
  <si>
    <t>90404-00</t>
  </si>
  <si>
    <t>Остале процедуре репарације на пенису</t>
  </si>
  <si>
    <t>УКУПНО ОПЕРАЦИЈЕЕ</t>
  </si>
  <si>
    <t>Електроенцефалографија (ЕЕГ)</t>
  </si>
  <si>
    <t>Замена пребивајућег перитонеалног катетера ради перитонеалне дијализе</t>
  </si>
  <si>
    <t>13706-00</t>
  </si>
  <si>
    <t>Трансплантација алогене коштане сржи или матичне ћелије, од сродног подударног даваоца</t>
  </si>
  <si>
    <t>Дензифекција просторија замагљивање: по објекту</t>
  </si>
  <si>
    <t>Инцизија и дренажа хематома  коже и поткожног  ткива</t>
  </si>
  <si>
    <t xml:space="preserve"> Инцизија и дренажа коже и поткожног ткива</t>
  </si>
  <si>
    <t>30666-00</t>
  </si>
  <si>
    <t>Редукција парафимозе</t>
  </si>
  <si>
    <t>35523-00</t>
  </si>
  <si>
    <t>Ексцизија карункула уретре</t>
  </si>
  <si>
    <t>35527-00</t>
  </si>
  <si>
    <t>Електрокаутеризација карункула уретре</t>
  </si>
  <si>
    <t>35599-00</t>
  </si>
  <si>
    <t>Слинг процедуре код стрес инконтиненције код жена</t>
  </si>
  <si>
    <t>35599-01</t>
  </si>
  <si>
    <t>Ревизија слинг процедуре код стрес инконтиненције код жена (ТVТ,ТОТ)</t>
  </si>
  <si>
    <t>Ретроградна уретерореноскопија</t>
  </si>
  <si>
    <t>36800-01</t>
  </si>
  <si>
    <t>Замена сталног уринарног катетера – кроз уретру (ендоскопски)</t>
  </si>
  <si>
    <t>Уклањање сталног уринарног катетера – кроз уретру (ендоскопски)</t>
  </si>
  <si>
    <t>36809-01</t>
  </si>
  <si>
    <t>Ендоскопка деструкција лезија уретера</t>
  </si>
  <si>
    <t>36812-00</t>
  </si>
  <si>
    <t>Цистоскопија</t>
  </si>
  <si>
    <t>36815-01</t>
  </si>
  <si>
    <t>Ендоскопска каутеризација кондилома у уретри</t>
  </si>
  <si>
    <t>36818-01</t>
  </si>
  <si>
    <t>Ендоскопска катетеризација уретера са ретроградном уретеропијелографијом (Chevassu) -обострана</t>
  </si>
  <si>
    <t>36821-01</t>
  </si>
  <si>
    <t>Пласирање ЈЈ катетера - уретерореноскопски или цистоскопски</t>
  </si>
  <si>
    <t>36821-03</t>
  </si>
  <si>
    <t>Замена ЈЈ катетера-уретерореноскопси или цитоскопски</t>
  </si>
  <si>
    <t>36830-00</t>
  </si>
  <si>
    <t>Ендоскопска инцизија орифицијума уретера</t>
  </si>
  <si>
    <t>36833-01</t>
  </si>
  <si>
    <t>Вађење ЈЈ катетера - уретерореноскопски или цистоскопски</t>
  </si>
  <si>
    <t>36836-00</t>
  </si>
  <si>
    <t>Ендоскопска биопсија мокраћне бешике</t>
  </si>
  <si>
    <t>36848-00</t>
  </si>
  <si>
    <t>Ендоскопска ресекција уретероцеле</t>
  </si>
  <si>
    <t>36854-01</t>
  </si>
  <si>
    <t>Ендоскопска инцизија спољашњег уретралног сфинктера</t>
  </si>
  <si>
    <t>37011-00</t>
  </si>
  <si>
    <r>
      <t xml:space="preserve">Цистостомија са пласирањем супрапубичног катетера – </t>
    </r>
    <r>
      <rPr>
        <i/>
        <sz val="10"/>
        <rFont val="Times New Roman"/>
        <family val="1"/>
        <charset val="238"/>
      </rPr>
      <t xml:space="preserve">Cistofix-а- </t>
    </r>
    <r>
      <rPr>
        <sz val="10"/>
        <rFont val="Times New Roman"/>
        <family val="1"/>
        <charset val="238"/>
      </rPr>
      <t>перкутана цистостомија</t>
    </r>
  </si>
  <si>
    <t>37219-00</t>
  </si>
  <si>
    <t>Трансректална биопсија простате иглом (ТРУС вођена)</t>
  </si>
  <si>
    <t>37303-00</t>
  </si>
  <si>
    <t xml:space="preserve">Дилатација стенозе уретре (бужирање) </t>
  </si>
  <si>
    <t>37315-00</t>
  </si>
  <si>
    <t>Уретроскопија</t>
  </si>
  <si>
    <t xml:space="preserve">Ексцизија цисте епидидимиса, једнострана </t>
  </si>
  <si>
    <t>37815-00</t>
  </si>
  <si>
    <t xml:space="preserve">Преглед пениса - хипоспадија, преглед тестом за ерекцију </t>
  </si>
  <si>
    <t>38600-00</t>
  </si>
  <si>
    <t>Кардиопулмонални бајпас, централна канулација</t>
  </si>
  <si>
    <t>90402-01</t>
  </si>
  <si>
    <t>Уклањање адхезија препуцијума и гланса пениса</t>
  </si>
  <si>
    <t>90402-02</t>
  </si>
  <si>
    <t>Дорзална или латерална инцизија препуцијума</t>
  </si>
  <si>
    <t>90406-00</t>
  </si>
  <si>
    <t>Остале процедуре на мушким полним органима</t>
  </si>
  <si>
    <t>Остале терапије обогаћене кисеоником</t>
  </si>
  <si>
    <t xml:space="preserve">96195-02 </t>
  </si>
  <si>
    <t>Примена осталих алергена по изразито брзом протоколу</t>
  </si>
  <si>
    <t>Орално давање фармаколошког средства,антиинфективно средство</t>
  </si>
  <si>
    <t xml:space="preserve">Узимање биолошког материјала за микробиолошки преглед </t>
  </si>
  <si>
    <t>L008979</t>
  </si>
  <si>
    <t xml:space="preserve">Целокупни преглед урина - ручно </t>
  </si>
  <si>
    <t>L009472</t>
  </si>
  <si>
    <t xml:space="preserve">Седимент урина </t>
  </si>
  <si>
    <t>Интрамускуларно давање фармаколошког средства,друго и неозначено фармаколошко средство</t>
  </si>
  <si>
    <t xml:space="preserve">Ексцизија бенигних/малигних кожних тумора са директном сутуром  </t>
  </si>
  <si>
    <t>30071-01</t>
  </si>
  <si>
    <t>Ректална сукцијска биопсија</t>
  </si>
  <si>
    <t>30075-37</t>
  </si>
  <si>
    <t xml:space="preserve"> Биопсија перитонеума</t>
  </si>
  <si>
    <t>30075-34</t>
  </si>
  <si>
    <t>Биопсија ануса</t>
  </si>
  <si>
    <t>30099-00</t>
  </si>
  <si>
    <t>Ексцизија синуса на кожи и поткожом ткиву</t>
  </si>
  <si>
    <t>30168-00</t>
  </si>
  <si>
    <t>Липектомија, једна ексцизија</t>
  </si>
  <si>
    <t>30178-00</t>
  </si>
  <si>
    <t>Затварање секундарне дисрупције трбушног зида са реконструкцијом пупка</t>
  </si>
  <si>
    <t xml:space="preserve">30224-01 </t>
  </si>
  <si>
    <t xml:space="preserve">Перкутана дренажа интра-абдоминалног апсцеса, хематома или цисте </t>
  </si>
  <si>
    <t>30329-00</t>
  </si>
  <si>
    <t xml:space="preserve"> Ексцизија лимфног чвора препоне</t>
  </si>
  <si>
    <t>30329-01</t>
  </si>
  <si>
    <t>Регионална ексцизија лимфних чворова препоне</t>
  </si>
  <si>
    <t>30329-001</t>
  </si>
  <si>
    <t>Биопсија сентинел лимфног чвора препоне</t>
  </si>
  <si>
    <t>30330-00</t>
  </si>
  <si>
    <t>Радикална ексцизија лимфних чворова препоне</t>
  </si>
  <si>
    <t>30332-00</t>
  </si>
  <si>
    <t xml:space="preserve">Ексцизија лимфног чвора аксиле </t>
  </si>
  <si>
    <t>30335-00</t>
  </si>
  <si>
    <t>Регионална ексцизија лимфних чворова аксиле</t>
  </si>
  <si>
    <t>30336-00</t>
  </si>
  <si>
    <t>Радикална ексцизија лимфних чворова аксиле</t>
  </si>
  <si>
    <t>30339-00</t>
  </si>
  <si>
    <t>Затварање лапаростомије</t>
  </si>
  <si>
    <t>30375-00</t>
  </si>
  <si>
    <t>Цекостома</t>
  </si>
  <si>
    <t>30375-01</t>
  </si>
  <si>
    <t>Остале ентеростомије</t>
  </si>
  <si>
    <t>30375-02</t>
  </si>
  <si>
    <t>Колотомија</t>
  </si>
  <si>
    <t>30375-03</t>
  </si>
  <si>
    <t>Ентеротомија танког црева</t>
  </si>
  <si>
    <t>30375-04</t>
  </si>
  <si>
    <t>Друга колостома</t>
  </si>
  <si>
    <t>30375-05</t>
  </si>
  <si>
    <t>Холецистотомија</t>
  </si>
  <si>
    <t>30375-06</t>
  </si>
  <si>
    <t>Гастротомија</t>
  </si>
  <si>
    <t>30375-07</t>
  </si>
  <si>
    <t>Гастростомија</t>
  </si>
  <si>
    <t xml:space="preserve">30375-09 </t>
  </si>
  <si>
    <t>Ексцизија Мекеловог дивертикулума</t>
  </si>
  <si>
    <t>30375-10</t>
  </si>
  <si>
    <t>Шав перфорираног улкуса</t>
  </si>
  <si>
    <t>30375-13</t>
  </si>
  <si>
    <t>Пилоропластика</t>
  </si>
  <si>
    <t xml:space="preserve">30375-17 </t>
  </si>
  <si>
    <t>Хируршко решавање волвулуса дебелог црева са колостомом</t>
  </si>
  <si>
    <t xml:space="preserve">30375-18 </t>
  </si>
  <si>
    <t>Репозиција волвулуса танког црева</t>
  </si>
  <si>
    <t>30375-19</t>
  </si>
  <si>
    <t>Остале репарације танког црева</t>
  </si>
  <si>
    <t xml:space="preserve">30375-24 </t>
  </si>
  <si>
    <t>Шав танког црева</t>
  </si>
  <si>
    <t>30375-25</t>
  </si>
  <si>
    <t>Шав лацераци дебелог црева</t>
  </si>
  <si>
    <t>30375-26</t>
  </si>
  <si>
    <t>Холецистектомија</t>
  </si>
  <si>
    <t>30375-28</t>
  </si>
  <si>
    <t>Привремена колостома</t>
  </si>
  <si>
    <t>30375-29</t>
  </si>
  <si>
    <t>Привремена илеостома</t>
  </si>
  <si>
    <t>30375-30</t>
  </si>
  <si>
    <t>Апендикостомија</t>
  </si>
  <si>
    <t>30375-111</t>
  </si>
  <si>
    <t>Хируршко решавање волвулуса дебелог црева без колостомом</t>
  </si>
  <si>
    <t>30375-281</t>
  </si>
  <si>
    <t>Формирање биполарне илеостоме</t>
  </si>
  <si>
    <t xml:space="preserve">30375-291 </t>
  </si>
  <si>
    <t xml:space="preserve">30382-00 </t>
  </si>
  <si>
    <t xml:space="preserve">Радикална репарација ентерокутане фистуле танког црева </t>
  </si>
  <si>
    <t>30382-01</t>
  </si>
  <si>
    <t>Перкутана репарација ентерокутане фистуле танког црева</t>
  </si>
  <si>
    <t>30385-00</t>
  </si>
  <si>
    <t>Постоперативно поновно отварање места лапаротомије</t>
  </si>
  <si>
    <t>Лапароскопија</t>
  </si>
  <si>
    <t xml:space="preserve">30392-00 </t>
  </si>
  <si>
    <t>Редукција интраабдоминалних лезија</t>
  </si>
  <si>
    <t>Лапароскопско одвајање абдоминалних прираслица</t>
  </si>
  <si>
    <t xml:space="preserve">Лапароскопка дренажа интра-абдоминалног апсцеса хематома или цисте </t>
  </si>
  <si>
    <t>Дебридман и лаважа перитонеумне шупљине</t>
  </si>
  <si>
    <t xml:space="preserve">30403-00 </t>
  </si>
  <si>
    <t>Репарација инцизионе киле, без мрежице</t>
  </si>
  <si>
    <t>30403-01</t>
  </si>
  <si>
    <t xml:space="preserve">Репарација осталих кила трбушног зида </t>
  </si>
  <si>
    <t xml:space="preserve">30403-04 </t>
  </si>
  <si>
    <t>Одложено затварање гранулирајуће абдоминалне ране</t>
  </si>
  <si>
    <t xml:space="preserve">30405-00 </t>
  </si>
  <si>
    <t>Репарација инцизионе киле са транспозицијом мишића - CST</t>
  </si>
  <si>
    <t xml:space="preserve">30405-01 </t>
  </si>
  <si>
    <t>Репарација инцизионе киле, мрежицом</t>
  </si>
  <si>
    <t xml:space="preserve">30405-02 </t>
  </si>
  <si>
    <t xml:space="preserve">Репарација инцизионе киле са ресекцијом странгулисаних вијуга црева </t>
  </si>
  <si>
    <t>30405-03</t>
  </si>
  <si>
    <t>Репарација осталих кила трбушног зида са транспозицијом мишића</t>
  </si>
  <si>
    <t xml:space="preserve">30405-04 </t>
  </si>
  <si>
    <t>Репарација осталих кила трбушног зида са протезом</t>
  </si>
  <si>
    <t>30405-05</t>
  </si>
  <si>
    <t>Репарација осталих кила трбушног зида са ресекцијом странгуларних вијуга црева</t>
  </si>
  <si>
    <t>30411-00</t>
  </si>
  <si>
    <t>Интраоперативна биопсија јетре</t>
  </si>
  <si>
    <t>30414-00</t>
  </si>
  <si>
    <t>Ексцизија промене из јетре</t>
  </si>
  <si>
    <t>30422-00</t>
  </si>
  <si>
    <t>Репарација површинске трауматске лацерације јетре</t>
  </si>
  <si>
    <t>30440-01</t>
  </si>
  <si>
    <t>Перкутана билијарна дренажа</t>
  </si>
  <si>
    <t xml:space="preserve">30443-00 </t>
  </si>
  <si>
    <t xml:space="preserve">30445-00 </t>
  </si>
  <si>
    <t>Лапароскопска холецистектомија</t>
  </si>
  <si>
    <t xml:space="preserve">30446-00 </t>
  </si>
  <si>
    <t>Лапароскопска холецистектомија која претходи отвореној холецистектомији</t>
  </si>
  <si>
    <t>30448-00</t>
  </si>
  <si>
    <t>Лапараскопска холесистекомија са одстрањењем калкуса из главног жучног канала (дуцтус цхоледоцхус) кроз канал жучне кесе (дуцтус цвстицус)</t>
  </si>
  <si>
    <t>30450-00</t>
  </si>
  <si>
    <t>Екстракција жучних каменаца помоћу метода визуелизације</t>
  </si>
  <si>
    <t>30452-02</t>
  </si>
  <si>
    <t>Холедохоскопија са одстањењем калкулуса</t>
  </si>
  <si>
    <t xml:space="preserve">30454-00 </t>
  </si>
  <si>
    <t>Холедохотомија</t>
  </si>
  <si>
    <t xml:space="preserve">30454-01 </t>
  </si>
  <si>
    <t>Холецистектомија са холедохотомијом</t>
  </si>
  <si>
    <t>30455-00</t>
  </si>
  <si>
    <t>Холецистектомија са холедохотомијом и билијарно-интестиналном анастомозом</t>
  </si>
  <si>
    <t>30457-00</t>
  </si>
  <si>
    <t>Интрахепатичка холедохотомија са одстрањењем калкулуса из интрхепатичког жучног канала</t>
  </si>
  <si>
    <t>30458-03</t>
  </si>
  <si>
    <t>Одстрањење жучног калкулуса из Одијевог (Одди) сфинктера</t>
  </si>
  <si>
    <t xml:space="preserve">30460-01 </t>
  </si>
  <si>
    <t>Холецистоентеростомија</t>
  </si>
  <si>
    <t xml:space="preserve">30460-03 </t>
  </si>
  <si>
    <t>Холедоходуоденостомија</t>
  </si>
  <si>
    <t xml:space="preserve">30460-04 </t>
  </si>
  <si>
    <t>Холедохојејуностомија</t>
  </si>
  <si>
    <t xml:space="preserve">30460-08 </t>
  </si>
  <si>
    <t xml:space="preserve">Билодигестивни бајпас помоћу Roux-en-Y вијуге </t>
  </si>
  <si>
    <t>30472-00</t>
  </si>
  <si>
    <t xml:space="preserve">Репарација интрахепатичних жучних путева </t>
  </si>
  <si>
    <t>30494-00</t>
  </si>
  <si>
    <t>Реконструкција жучних путева (Т-Т анастомоза)</t>
  </si>
  <si>
    <t>30496-01</t>
  </si>
  <si>
    <t>Селективна вагатомија са пиларо пластиком</t>
  </si>
  <si>
    <t>30503-01</t>
  </si>
  <si>
    <t>Парцијална гастректомија са гастројејуналном анастомозом након претходног оперативног лечења пептичког улкуса</t>
  </si>
  <si>
    <t>30503-02</t>
  </si>
  <si>
    <t xml:space="preserve">Парцијална гастректомија са Rоux-en-Y реконструкцијом након претходног оперативног лечења пептичког улкуса </t>
  </si>
  <si>
    <t>30503-05</t>
  </si>
  <si>
    <t xml:space="preserve">Парцијална гастректомија са Rоux-en-Y реконструкцијом након претходног поступка лечења пептичког улкуса </t>
  </si>
  <si>
    <t>30505-00</t>
  </si>
  <si>
    <t>Контрола крварења пептичког улкуса</t>
  </si>
  <si>
    <t>30512-00</t>
  </si>
  <si>
    <t>Гастрични бајпас</t>
  </si>
  <si>
    <t>30512-02</t>
  </si>
  <si>
    <t>Билиопанкреасна диверзија</t>
  </si>
  <si>
    <t xml:space="preserve">30515-00 </t>
  </si>
  <si>
    <t>Гастро-ентеростомија</t>
  </si>
  <si>
    <t>30515-01</t>
  </si>
  <si>
    <t>Ентероколоанастомоза</t>
  </si>
  <si>
    <t>30515-02</t>
  </si>
  <si>
    <t>Ентероентероанастомоза</t>
  </si>
  <si>
    <t>30517-00</t>
  </si>
  <si>
    <t>Реконструкција пиролопластике</t>
  </si>
  <si>
    <t>30517-01</t>
  </si>
  <si>
    <t>Реконструкција гастро-ентеростомије</t>
  </si>
  <si>
    <t>30518-00</t>
  </si>
  <si>
    <t>Парцијална дистална гастректомија са гастројејуналном анастомозом</t>
  </si>
  <si>
    <t xml:space="preserve">30518-01 </t>
  </si>
  <si>
    <t xml:space="preserve">30521-00 </t>
  </si>
  <si>
    <t>Тотална гастректомија</t>
  </si>
  <si>
    <t>30521-001</t>
  </si>
  <si>
    <t>Лимфаденектомија са реконструкцијим по методи Roux-en Y трансхијаталним приступом</t>
  </si>
  <si>
    <t xml:space="preserve">30523-00 </t>
  </si>
  <si>
    <t xml:space="preserve"> Субтотална гастректомија</t>
  </si>
  <si>
    <t xml:space="preserve">30562-00 </t>
  </si>
  <si>
    <t>Затварање биполарне илеостоме</t>
  </si>
  <si>
    <t>30562-01</t>
  </si>
  <si>
    <t>Затварање илеостоме са успостављањем континуитета црева, без ресекције</t>
  </si>
  <si>
    <t xml:space="preserve">30562-02 </t>
  </si>
  <si>
    <t xml:space="preserve">Затварање петље колостоме </t>
  </si>
  <si>
    <t xml:space="preserve">30562-03 </t>
  </si>
  <si>
    <t xml:space="preserve">Затварање колоностоме са успостављањем континуитета црева </t>
  </si>
  <si>
    <t>30562-021</t>
  </si>
  <si>
    <t xml:space="preserve">Затварање биполарне колостомије </t>
  </si>
  <si>
    <t>30563-00</t>
  </si>
  <si>
    <t>Ревизија стоме танког црева</t>
  </si>
  <si>
    <t>30563-01</t>
  </si>
  <si>
    <t>Рервизија стоме дебелог црева, преобликовање стоме дебелог црева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</si>
  <si>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</si>
  <si>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</si>
  <si>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</si>
  <si>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</si>
  <si>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 xml:space="preserve">30572-00 </t>
  </si>
  <si>
    <t>Лапароскопска апендектомија</t>
  </si>
  <si>
    <t>30583-00</t>
  </si>
  <si>
    <t>Дистална панкреатектомија</t>
  </si>
  <si>
    <t>30597-00</t>
  </si>
  <si>
    <t>30601-00</t>
  </si>
  <si>
    <t>Репарација дијафрагмалне киле , абдоминални приступ</t>
  </si>
  <si>
    <t>30609-02</t>
  </si>
  <si>
    <t>Лапароскопска репарација ингвиналне херније, једнострано</t>
  </si>
  <si>
    <t xml:space="preserve">30609-03 </t>
  </si>
  <si>
    <t>Лапароскопска репарација ингвиналне херније, обострано</t>
  </si>
  <si>
    <t xml:space="preserve">30614-00 </t>
  </si>
  <si>
    <t>Репарација феморалне херније, једнострано</t>
  </si>
  <si>
    <t xml:space="preserve">30614-01 </t>
  </si>
  <si>
    <t>Репарација феморалне херније, обострано</t>
  </si>
  <si>
    <t xml:space="preserve">30614-03 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</si>
  <si>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</si>
  <si>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</si>
  <si>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</si>
  <si>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 xml:space="preserve">30617-00 </t>
  </si>
  <si>
    <t>Репарација умбиликалне херније</t>
  </si>
  <si>
    <t>30617-01</t>
  </si>
  <si>
    <t>Репарација епигастричне херније</t>
  </si>
  <si>
    <t xml:space="preserve">30617-02 </t>
  </si>
  <si>
    <t>Репарација херније беле линије</t>
  </si>
  <si>
    <t>30676-01</t>
  </si>
  <si>
    <t>Ексцизија пилонидалног синуса или цисте</t>
  </si>
  <si>
    <t>31462-00</t>
  </si>
  <si>
    <t>Уградња сонде за храњење, јејуностомија</t>
  </si>
  <si>
    <t>Ексцизија лезије на дојкама</t>
  </si>
  <si>
    <t>31515-00</t>
  </si>
  <si>
    <t>Поновна ексцизија лезије на дојкама</t>
  </si>
  <si>
    <t>31518-00</t>
  </si>
  <si>
    <t>Једноставна мастектомија, једнострана</t>
  </si>
  <si>
    <t>31518-01</t>
  </si>
  <si>
    <t>Једноставна мастектомија, обострана</t>
  </si>
  <si>
    <t>31524-00</t>
  </si>
  <si>
    <t>Подкожна мастектомија, једнострана</t>
  </si>
  <si>
    <t>Биопсија дубоког ткива дојке</t>
  </si>
  <si>
    <t xml:space="preserve">32000-00 </t>
  </si>
  <si>
    <t xml:space="preserve">Парцијална ресекција дебелог црева са формирањем стоме </t>
  </si>
  <si>
    <t>32000-01</t>
  </si>
  <si>
    <t>Десна хемиколектомија са формирањем стоме</t>
  </si>
  <si>
    <t xml:space="preserve">32003-00 </t>
  </si>
  <si>
    <t>Парцијална ресекција дебелог црева са анастомозом</t>
  </si>
  <si>
    <t>32004-00</t>
  </si>
  <si>
    <t>Субтотална колектомија са формирањем стоме</t>
  </si>
  <si>
    <t>32004-01</t>
  </si>
  <si>
    <t>Проширена десна хемиколектомија са формирањем стоме</t>
  </si>
  <si>
    <t>32005-00</t>
  </si>
  <si>
    <t>Субтотална колектомија са анастомозом</t>
  </si>
  <si>
    <t xml:space="preserve">32005-01 </t>
  </si>
  <si>
    <t>Проширена десна хемиколектомија са анастомозом</t>
  </si>
  <si>
    <t>32006-00</t>
  </si>
  <si>
    <t>Лева хемиколектомија сa анастомозом</t>
  </si>
  <si>
    <t>30006-01</t>
  </si>
  <si>
    <t>Лева хемиколектомија сa формирањем стоме</t>
  </si>
  <si>
    <t>32009-00</t>
  </si>
  <si>
    <t>Тотална колеоктомија са илеостомом</t>
  </si>
  <si>
    <t xml:space="preserve">32024-00 </t>
  </si>
  <si>
    <t xml:space="preserve">Висока ресторативна предња ресекција ректума </t>
  </si>
  <si>
    <t>32025-00</t>
  </si>
  <si>
    <t xml:space="preserve">Ниска ресторативна предња ресекција ректума </t>
  </si>
  <si>
    <t xml:space="preserve">32026-00 </t>
  </si>
  <si>
    <t xml:space="preserve">Врло ниска ресторативна предња ресекција ректума </t>
  </si>
  <si>
    <t xml:space="preserve">32028-00 </t>
  </si>
  <si>
    <t xml:space="preserve">Врло ниска ресторативна предња ресекција ректума са ручно зашивеном колоаналном анастомозом </t>
  </si>
  <si>
    <t xml:space="preserve">32030-00 </t>
  </si>
  <si>
    <t>Ресекција ректума и/или сигме уз формирање терминалне колостоме Хартманов (Hartmann) поступак</t>
  </si>
  <si>
    <t xml:space="preserve">32033-00 </t>
  </si>
  <si>
    <t xml:space="preserve">Успостављање континуитета црева након Хартманове (Hartmann) операције </t>
  </si>
  <si>
    <t xml:space="preserve">32039-00 </t>
  </si>
  <si>
    <t>Абдоминоперинеална ресекција ректума</t>
  </si>
  <si>
    <t>32123-00</t>
  </si>
  <si>
    <t>Анопластика</t>
  </si>
  <si>
    <t xml:space="preserve">32126-00 </t>
  </si>
  <si>
    <t>Сфинктеропластика – апозиција мишића сфинктера</t>
  </si>
  <si>
    <t>32132-00</t>
  </si>
  <si>
    <t>Склеротерапија хемороида</t>
  </si>
  <si>
    <t>32135-01</t>
  </si>
  <si>
    <t>Деструкција хемороида</t>
  </si>
  <si>
    <t>32138-00</t>
  </si>
  <si>
    <t>Хемороидектомија</t>
  </si>
  <si>
    <t>32138-01</t>
  </si>
  <si>
    <t>Хемороидектомија ласером</t>
  </si>
  <si>
    <t>32142-00</t>
  </si>
  <si>
    <t>Ексцизија аналног кожног висуљка</t>
  </si>
  <si>
    <t>32142-01</t>
  </si>
  <si>
    <t>Ексцизија аналног полипа</t>
  </si>
  <si>
    <t xml:space="preserve">32159-00 </t>
  </si>
  <si>
    <t>Ексцизија аналне фистуле - фистулектомија</t>
  </si>
  <si>
    <t xml:space="preserve">32159-01 </t>
  </si>
  <si>
    <t xml:space="preserve">Уградња сетона за ниске аналне фистуле </t>
  </si>
  <si>
    <t>32159-02</t>
  </si>
  <si>
    <t xml:space="preserve">Уградња сетона и ексцизија аналне фистуле </t>
  </si>
  <si>
    <t xml:space="preserve">32162-01 </t>
  </si>
  <si>
    <t>Уградња сетона за високе аналне фистуле</t>
  </si>
  <si>
    <t>32166-00</t>
  </si>
  <si>
    <t>Дренажни сетон код перианалних фистула</t>
  </si>
  <si>
    <t>32186-00</t>
  </si>
  <si>
    <t xml:space="preserve">Интраоперативна лаважа колона </t>
  </si>
  <si>
    <t>32511-00</t>
  </si>
  <si>
    <t>Прекид сафено-феморалног и сафено-поплитеалног споја варикозних вена</t>
  </si>
  <si>
    <t>35713-09</t>
  </si>
  <si>
    <t>Салпингектомија, једнострана</t>
  </si>
  <si>
    <t xml:space="preserve">35713-11 </t>
  </si>
  <si>
    <t>Салпингоовариектомија, једнострана</t>
  </si>
  <si>
    <t>37000-00</t>
  </si>
  <si>
    <t>Парцијална ексцизија мокраћне бешике (парцијална цистектомија) -лапароскопски</t>
  </si>
  <si>
    <t>Орхидопексија неспуштеног тестиса, једнострана</t>
  </si>
  <si>
    <t>Директна сутура периверног нерва</t>
  </si>
  <si>
    <t>43807-00</t>
  </si>
  <si>
    <t xml:space="preserve"> Дуоденодуоденостомија</t>
  </si>
  <si>
    <t xml:space="preserve">43810-00 </t>
  </si>
  <si>
    <t>Репарација танког црева са једном анастомозом</t>
  </si>
  <si>
    <t xml:space="preserve">43810-01 </t>
  </si>
  <si>
    <t>Репарација танког црева са мултиплим анастомозама</t>
  </si>
  <si>
    <t xml:space="preserve">43837-02 </t>
  </si>
  <si>
    <t xml:space="preserve">Репарација дијафрагмалне киле са употребом режња трбушног зида или уградњом протетске закрпе </t>
  </si>
  <si>
    <t xml:space="preserve">43930-00 </t>
  </si>
  <si>
    <t xml:space="preserve"> Пилоромиотомија</t>
  </si>
  <si>
    <t>45239-00</t>
  </si>
  <si>
    <t>Ревизија локалног режња коже</t>
  </si>
  <si>
    <t>46432-00</t>
  </si>
  <si>
    <t>Примарна репарација тетиве флексора шаке, дистално од фиброзне овојнице тетиве флексора прстију (у нивоу метакарпалних главица, А1 пули)</t>
  </si>
  <si>
    <t>90282-00</t>
  </si>
  <si>
    <t>Ексцизија лимфног чвора на другом месту</t>
  </si>
  <si>
    <t>90312-00</t>
  </si>
  <si>
    <t>Електрокоагулација ткива ректума</t>
  </si>
  <si>
    <t>90314-00</t>
  </si>
  <si>
    <t>Остале процедуре на ректуму</t>
  </si>
  <si>
    <t>90400-00</t>
  </si>
  <si>
    <t>Остале процедуре репарације на тестисима</t>
  </si>
  <si>
    <t xml:space="preserve">90951-00 </t>
  </si>
  <si>
    <t>Фиксација дебелог црева</t>
  </si>
  <si>
    <t>32504-01</t>
  </si>
  <si>
    <t>Прекид вишеструких притока варикозних вена</t>
  </si>
  <si>
    <t>32508-00</t>
  </si>
  <si>
    <t>Прекид сафено-феморалног споја варикозних вена</t>
  </si>
  <si>
    <t>32508-01</t>
  </si>
  <si>
    <t>Прекид сафено-поплитеалног споја варикозних вена</t>
  </si>
  <si>
    <t>32514-00</t>
  </si>
  <si>
    <t>Поновна операција за варикозне вене</t>
  </si>
  <si>
    <t>32739-00</t>
  </si>
  <si>
    <t>Феморално-поплитеални бајпас помоћу вене, анастомоза изнад колена</t>
  </si>
  <si>
    <t>32742-00</t>
  </si>
  <si>
    <t>Феморално-поплитеални бајпас помоћу вене, анастомоза испод колена</t>
  </si>
  <si>
    <t>32745-00</t>
  </si>
  <si>
    <t>Бајпас феморалне до проксимално тибијалне или перонеалне артерије помоћу вене</t>
  </si>
  <si>
    <t>32751-00</t>
  </si>
  <si>
    <t>Феморално-поплитеални бајпас синтетичким материјалом, анастомоза изнад колена</t>
  </si>
  <si>
    <t>32751-01</t>
  </si>
  <si>
    <t>Феморално-поплитеални бајпас синтетичким материјалом, анастомоза испод колена</t>
  </si>
  <si>
    <t>32754-00</t>
  </si>
  <si>
    <t>Феморално-поплитеални бајпас помоћу композитног графта, анастомоза изнад колена</t>
  </si>
  <si>
    <t>32754-01</t>
  </si>
  <si>
    <t>Феморално-поплитеални бајпас помоћу композитног графта, анастомоза испод колена</t>
  </si>
  <si>
    <t>32763-00</t>
  </si>
  <si>
    <t>Бајпас осталих артерија помоћу вене</t>
  </si>
  <si>
    <t>32763-01</t>
  </si>
  <si>
    <t>Бајпас осталих артерија синтетичким материјалом</t>
  </si>
  <si>
    <t>33050-00</t>
  </si>
  <si>
    <t>Замена поплитеалне анеуризме помоћу венског графта</t>
  </si>
  <si>
    <t>33055-00</t>
  </si>
  <si>
    <t>Замена поплитеалне анеуризме помоћу синтетичког графта</t>
  </si>
  <si>
    <t>33070-00</t>
  </si>
  <si>
    <t>Репарација анеуризме у екстремитетима</t>
  </si>
  <si>
    <t>33142-00</t>
  </si>
  <si>
    <t>Репарација лажне анеуризме феморалне артерије</t>
  </si>
  <si>
    <t>33172-00</t>
  </si>
  <si>
    <t>Замена анеуризме осталих главних артерија графтом</t>
  </si>
  <si>
    <t>33500-00</t>
  </si>
  <si>
    <t xml:space="preserve"> Каротидна ендартеректомија</t>
  </si>
  <si>
    <t>33539-00</t>
  </si>
  <si>
    <t>Ендартеректомија екстремитета</t>
  </si>
  <si>
    <t>33542-00</t>
  </si>
  <si>
    <t>Проширена ендартеректомија дубоке феморалне артерије</t>
  </si>
  <si>
    <t>33554-00</t>
  </si>
  <si>
    <t>Ендартеректомија удружена са артеријским бајпасом за припрему области за анастомозу</t>
  </si>
  <si>
    <t>33806-00</t>
  </si>
  <si>
    <t>Емболектомија или тромбектомија аксиларне артерије</t>
  </si>
  <si>
    <t>33806-01</t>
  </si>
  <si>
    <t>Емболектомија или тромбектомија брахијалне артерије</t>
  </si>
  <si>
    <t>33806-02</t>
  </si>
  <si>
    <t>Емболектомија или тромбектомија радијалне артерије</t>
  </si>
  <si>
    <t>33806-03</t>
  </si>
  <si>
    <t>Емболектомија или тромбектомија улнарне артерије</t>
  </si>
  <si>
    <t>33806-06</t>
  </si>
  <si>
    <t>Емболектомија или тромбектомија реналне артерије</t>
  </si>
  <si>
    <t>33806-08</t>
  </si>
  <si>
    <t>Емболектомија или тромбектомија илијачне артерије</t>
  </si>
  <si>
    <t>33806-09</t>
  </si>
  <si>
    <t>Емболектомија или тромбектомија феморалне артерије</t>
  </si>
  <si>
    <t>33806-10</t>
  </si>
  <si>
    <t>Емболектомија или тромбектомија поплитеалне артерије</t>
  </si>
  <si>
    <t>33806-11</t>
  </si>
  <si>
    <t>Емболектомија или тромбектомија трибијалне артерије</t>
  </si>
  <si>
    <t>33812-04</t>
  </si>
  <si>
    <t>Тромбектомија осталих великих вена</t>
  </si>
  <si>
    <t>33815-04</t>
  </si>
  <si>
    <t>Директно затварање феморалне артерије</t>
  </si>
  <si>
    <t>34100-00</t>
  </si>
  <si>
    <t xml:space="preserve"> Експлорација каротидне артерије</t>
  </si>
  <si>
    <t>34103-03</t>
  </si>
  <si>
    <t>Експлорација феморалне артерије</t>
  </si>
  <si>
    <t>34106-00</t>
  </si>
  <si>
    <t>Експлорација брахијалне артерије</t>
  </si>
  <si>
    <t>34106-04</t>
  </si>
  <si>
    <t>Експлорација осталих артерија</t>
  </si>
  <si>
    <t>34106-09</t>
  </si>
  <si>
    <t>Експлорација осталих вена</t>
  </si>
  <si>
    <t>34106-11</t>
  </si>
  <si>
    <t>Прекид радијалне артерије</t>
  </si>
  <si>
    <t>34106-12</t>
  </si>
  <si>
    <t>Прекид улнарне артерије</t>
  </si>
  <si>
    <t>34121-01</t>
  </si>
  <si>
    <t>Репарација комплексне артериовенске фистуле на екстремитетима са поновним успостављањем континуитета</t>
  </si>
  <si>
    <t>34175-00</t>
  </si>
  <si>
    <t>Ексцизија графта бајпаса на удовима</t>
  </si>
  <si>
    <t>34509-00</t>
  </si>
  <si>
    <t>Артериовенска анастомоза доњих удова</t>
  </si>
  <si>
    <t>34509-01</t>
  </si>
  <si>
    <t>Артериовенска анастомоза горњих удова</t>
  </si>
  <si>
    <t>35202-00</t>
  </si>
  <si>
    <t>Приступ због поновне операције артерија или вена у врату, абдомену или удовима</t>
  </si>
  <si>
    <t>35312-01</t>
  </si>
  <si>
    <t>Отворена периферна артеријска атеректомија</t>
  </si>
  <si>
    <t>35315-00</t>
  </si>
  <si>
    <t>Перкутана периферна ангиопластика ласером</t>
  </si>
  <si>
    <t xml:space="preserve">44364-00 </t>
  </si>
  <si>
    <t>Медиотарзална ампутација</t>
  </si>
  <si>
    <t>90209-03</t>
  </si>
  <si>
    <t xml:space="preserve"> Директно затварање осталих артерија</t>
  </si>
  <si>
    <t>90229-00</t>
  </si>
  <si>
    <t>Остале ендартеректомије</t>
  </si>
  <si>
    <t>90230-00</t>
  </si>
  <si>
    <t>Емболектомија или тромбектомија осталих артерија</t>
  </si>
  <si>
    <t xml:space="preserve">90603-19 </t>
  </si>
  <si>
    <t>Секвестректомија метатарзуса</t>
  </si>
  <si>
    <t xml:space="preserve">90571-00 </t>
  </si>
  <si>
    <t>Раздвајање адхезија меког ткива, некласификовано на другом месту</t>
  </si>
  <si>
    <t>Перкутана биопсија тиреоидне жлезде</t>
  </si>
  <si>
    <t>30315-00</t>
  </si>
  <si>
    <t xml:space="preserve">Субтотална паратироидектомија </t>
  </si>
  <si>
    <t>30315-01</t>
  </si>
  <si>
    <t xml:space="preserve">Тотална паратироидектомија </t>
  </si>
  <si>
    <t>30306-01</t>
  </si>
  <si>
    <t>Тотална тироидна лобектомија, једнострана</t>
  </si>
  <si>
    <t>30308-00</t>
  </si>
  <si>
    <t>Субтотална тиреоидектомија, хемитироидектомија са пара контал.лобек.</t>
  </si>
  <si>
    <t>30296-01</t>
  </si>
  <si>
    <t>Тотална тироидектомија, скоро тотална тироидектомија</t>
  </si>
  <si>
    <t>30297-02</t>
  </si>
  <si>
    <t>Тиридектомија због рецидива</t>
  </si>
  <si>
    <t>90046-02</t>
  </si>
  <si>
    <t>Тироидектомија ретростерналне локализације</t>
  </si>
  <si>
    <t>36500-011</t>
  </si>
  <si>
    <t>Тотална адреналектомија, једнострано лапараскопски</t>
  </si>
  <si>
    <t>90047-02</t>
  </si>
  <si>
    <t>Реинтервенција на тиреоидној жлезди</t>
  </si>
  <si>
    <t>31423-011</t>
  </si>
  <si>
    <t>Дисекција лгл врата, једнострано</t>
  </si>
  <si>
    <t>Ексцизија, биопсија лимфног чвора врата</t>
  </si>
  <si>
    <t>32105-00</t>
  </si>
  <si>
    <t>Трансанална екцизија пуне деблјине аноректалне лезије или ткива</t>
  </si>
  <si>
    <t>32108-00</t>
  </si>
  <si>
    <t>Транссфинктерична екцзија лезије ректалног тракта</t>
  </si>
  <si>
    <t>32114-00</t>
  </si>
  <si>
    <t>Релаксација ректалне стриктуре око ануса</t>
  </si>
  <si>
    <t>32099-00</t>
  </si>
  <si>
    <t>Трнсанална субмулозна екцизија ректалног тумора или ткива</t>
  </si>
  <si>
    <t>32103-00</t>
  </si>
  <si>
    <t>Трансанална екцизија лезије или ткива ректума стереоскопском ректоскопијом</t>
  </si>
  <si>
    <t>90040-00</t>
  </si>
  <si>
    <t>Остале процедуре на паратиреоидној жлезди</t>
  </si>
  <si>
    <t>90041-00</t>
  </si>
  <si>
    <t>Остале процедуре на тироидној жлезди</t>
  </si>
  <si>
    <t>90047-00</t>
  </si>
  <si>
    <t>Аспирација тироидне жлезде</t>
  </si>
  <si>
    <t>90047-01</t>
  </si>
  <si>
    <t>Инцизија тироидне жлезде</t>
  </si>
  <si>
    <t>90071-00</t>
  </si>
  <si>
    <t>Ревизија оперативне ране на предњем сегменту - некласификована на другом месту</t>
  </si>
  <si>
    <t>90304-00</t>
  </si>
  <si>
    <t>Остале репарације на желуцу</t>
  </si>
  <si>
    <t>90307-00</t>
  </si>
  <si>
    <t>Остале процедуре на танком цреву</t>
  </si>
  <si>
    <t>90315-00</t>
  </si>
  <si>
    <t>Ендоскопска ексцизија лезија или ткива ануса</t>
  </si>
  <si>
    <t>90315-01</t>
  </si>
  <si>
    <t>Екцизија осталих лезија или ткива ануса</t>
  </si>
  <si>
    <t>90319-001</t>
  </si>
  <si>
    <t>Збрињавање резидуалног карума јетре (капитунажа, интрофлексија, оментопластика, дренажа)</t>
  </si>
  <si>
    <t>90325-00</t>
  </si>
  <si>
    <t>Дренажа операција псеудоцисте панкреаса</t>
  </si>
  <si>
    <t>90329-02</t>
  </si>
  <si>
    <t>Остале операције оментуму</t>
  </si>
  <si>
    <t>90331-00</t>
  </si>
  <si>
    <t>Остале процедуре на абдомену, перитонеуму и оментуму</t>
  </si>
  <si>
    <t>90342-02</t>
  </si>
  <si>
    <t>Шав код ласерације желуца</t>
  </si>
  <si>
    <t>90375-00</t>
  </si>
  <si>
    <t>Пласирање интра-абдоминалне тампонаде</t>
  </si>
  <si>
    <t>90446-00</t>
  </si>
  <si>
    <t>Остале инцизијена вулви и перинеуму (код вулварних адхезија и апсцеса различите етиологије)</t>
  </si>
  <si>
    <t>90481-00</t>
  </si>
  <si>
    <t xml:space="preserve">Сутура повреда перинеума првог или другог степена </t>
  </si>
  <si>
    <t>90567-01</t>
  </si>
  <si>
    <t>Фасциотомија због исхемије доњег екстремитета</t>
  </si>
  <si>
    <t>32003-01 30390-00</t>
  </si>
  <si>
    <t>Десна хемиколектомија са анастомозом (Лапараскопија)</t>
  </si>
  <si>
    <t>32006-00 30390-00</t>
  </si>
  <si>
    <t>Лева хемиколектомија са анастомозом  (Лапараскопија)</t>
  </si>
  <si>
    <t>32024-00 30390-00</t>
  </si>
  <si>
    <t>Висока ресторативна предња ресекција ректума  (Лапараскопија)</t>
  </si>
  <si>
    <t>32025-00 30390-00</t>
  </si>
  <si>
    <t>Ниска ресторативна предња ресекција ректума  (Лапараскопија)</t>
  </si>
  <si>
    <t>32039-00 30390-00</t>
  </si>
  <si>
    <t>Абдоминоперитонеална ресекција ректума  (Лапараскопија)</t>
  </si>
  <si>
    <t>32003-00 30390-00</t>
  </si>
  <si>
    <t>Парцијална ресекција дебелог црева са анастомозом  (Лапараскопија)</t>
  </si>
  <si>
    <t>32004-00 30390-00</t>
  </si>
  <si>
    <t>Субтотална/тотална колектомија  (Лапараскопија)</t>
  </si>
  <si>
    <t>ОПЕРАЦИЈЕ ДЕЧИЈЕ ХИРУРГИЈЕ</t>
  </si>
  <si>
    <t>Хемороидектомија  ласером</t>
  </si>
  <si>
    <t xml:space="preserve">32174-01 </t>
  </si>
  <si>
    <t>Дренажа перианалног апсцеса</t>
  </si>
  <si>
    <t>38806-00</t>
  </si>
  <si>
    <t xml:space="preserve">Пласирање дрена кроз међуребарни простор </t>
  </si>
  <si>
    <t>43948-00</t>
  </si>
  <si>
    <t>Ексцизија умбиликалног гранулома</t>
  </si>
  <si>
    <t>УКУПНО ОПЕРАЦИЈE</t>
  </si>
  <si>
    <t>ОДЕЉЕЊЕ ЗА СПЕЦИЈАЛИСТИЧКЕ, КОНСУЛТАТИВНЕ ПРЕГЛЕДЕ И ФУНКЦИОНАЛНУ ДИЈАГНОСТИКУ ОПШТЕ И ДЕЧИЈЕ ХИРУРГИЈЕ</t>
  </si>
  <si>
    <t xml:space="preserve">11503-10 </t>
  </si>
  <si>
    <t>Примарна обрада ране са сутуром максилофацијалне регије</t>
  </si>
  <si>
    <t>11602-00</t>
  </si>
  <si>
    <t xml:space="preserve"> Испитивање и снимање периферних вена у једном или више екстремитета при одмарању, коришћњем CW доплера или пулсног доплера</t>
  </si>
  <si>
    <t>11612-00</t>
  </si>
  <si>
    <t>Обострано мерење индекса систолног артеријског притиска при одмарању и после вежбања на доњим екстремитетима</t>
  </si>
  <si>
    <t>130208</t>
  </si>
  <si>
    <t>Узимање материјала са кожних аднекса ( длана, нокта) за микролошки преглед</t>
  </si>
  <si>
    <t>Трансфузија леукоцита</t>
  </si>
  <si>
    <t>Поступак одржавања континуиране вентилаторне подршке, &gt; или једнако 96х</t>
  </si>
  <si>
    <t>Консултација са лекарима везана за фармакотерапију</t>
  </si>
  <si>
    <t>241029</t>
  </si>
  <si>
    <t>Пријављивање нежељене реакције пацијента на лек</t>
  </si>
  <si>
    <t>241030</t>
  </si>
  <si>
    <t>Пријављивање нежељене реакције пацијента на медицинско средство</t>
  </si>
  <si>
    <t>Обрада опекотине са ексцизијом, 10% и више површине тела је обрађено или екцидирано</t>
  </si>
  <si>
    <t>Ексцизија дебридман меког ткива</t>
  </si>
  <si>
    <t>30023-01</t>
  </si>
  <si>
    <t>30068-00</t>
  </si>
  <si>
    <t>Одстрањење страног тела из меког ткива-некласификовано на друго место</t>
  </si>
  <si>
    <t>30075-12</t>
  </si>
  <si>
    <t>Биопсија желуца</t>
  </si>
  <si>
    <t>30075-13</t>
  </si>
  <si>
    <t>Биопсија танког црева</t>
  </si>
  <si>
    <t>30075-14</t>
  </si>
  <si>
    <t>Биопсија дебелог црева</t>
  </si>
  <si>
    <t>30075-15</t>
  </si>
  <si>
    <t>Биопсија жучн кесе или жучних путева</t>
  </si>
  <si>
    <t>30075-16</t>
  </si>
  <si>
    <t>Биопсија панкреаса</t>
  </si>
  <si>
    <t>30075-17</t>
  </si>
  <si>
    <t>Биопсија трбушног зида или пупка</t>
  </si>
  <si>
    <t>30094-00</t>
  </si>
  <si>
    <t>Перкутана (помоћу игле) биопсија тироидне жлезде</t>
  </si>
  <si>
    <t>30216-01</t>
  </si>
  <si>
    <t>Аспиација апсцеса из коже и поткожног ткива</t>
  </si>
  <si>
    <t>30216-02</t>
  </si>
  <si>
    <t>Остале аспирације из коже и поткожног ткива</t>
  </si>
  <si>
    <t xml:space="preserve"> Инцизија и дренажа апсцеса меког ткива</t>
  </si>
  <si>
    <t>30224-00</t>
  </si>
  <si>
    <t>Перкутана дренажа апсцеса меког ткива</t>
  </si>
  <si>
    <t>30224-02</t>
  </si>
  <si>
    <t>Перкутана дренажа ретроперитонеалног ппсцеса</t>
  </si>
  <si>
    <t>30226-00</t>
  </si>
  <si>
    <t>Фасциотомија, некласификовао друго место</t>
  </si>
  <si>
    <t>Репарација руптирарног мишића, некласификована на другом месту</t>
  </si>
  <si>
    <t>30402-00</t>
  </si>
  <si>
    <t>Дренажа ретроперитонеалног апсцеса</t>
  </si>
  <si>
    <t xml:space="preserve">30403-03 </t>
  </si>
  <si>
    <t>Поновно затварање постоперативне дисрупције трбушног зида</t>
  </si>
  <si>
    <t>30431-00</t>
  </si>
  <si>
    <t>Абдоминална евакуација и дренажа апсцееса јетре</t>
  </si>
  <si>
    <t xml:space="preserve">30509-00 </t>
  </si>
  <si>
    <t xml:space="preserve">Контрола крварења из пептичког улкуса ресекцијом желуца </t>
  </si>
  <si>
    <t>30628-00</t>
  </si>
  <si>
    <t>Перкутана пункција и аспирација хидроцеле</t>
  </si>
  <si>
    <t xml:space="preserve">30575-00 </t>
  </si>
  <si>
    <t>Инцизија и дренажа апсцеса панкреаса</t>
  </si>
  <si>
    <t>Ексцизија чира на кожи и поткожном ткиву осталих области</t>
  </si>
  <si>
    <t>Екцизија лезије (а) на кожи и поткожном ткиву очног капка</t>
  </si>
  <si>
    <t>Ексцизија лезије (а) на кожи и поткожном ткиву осталих области на глави</t>
  </si>
  <si>
    <t>31245-00</t>
  </si>
  <si>
    <t xml:space="preserve">Екстензивна ексцизија аксиларних знојних жлезда </t>
  </si>
  <si>
    <t>31245-02</t>
  </si>
  <si>
    <t>Екстензивна ексцизија ингуиналних знојних жлезда</t>
  </si>
  <si>
    <t>31435-00</t>
  </si>
  <si>
    <t>Радикална ексцизија лимфних чворова врата</t>
  </si>
  <si>
    <t>Биопсија дојке иглом</t>
  </si>
  <si>
    <t>31536-00</t>
  </si>
  <si>
    <t>Локализација лезија на дојкама</t>
  </si>
  <si>
    <t>32075-01</t>
  </si>
  <si>
    <t xml:space="preserve">32147-00 </t>
  </si>
  <si>
    <t>Инцизија перианалног тромба</t>
  </si>
  <si>
    <t>32153-00</t>
  </si>
  <si>
    <t>Дилатација ануса</t>
  </si>
  <si>
    <t xml:space="preserve">32174-00 </t>
  </si>
  <si>
    <t>Дренажа интрааналног апсцеса</t>
  </si>
  <si>
    <t>32174-02</t>
  </si>
  <si>
    <t>Дренажа исхиоректалниог апсцеса</t>
  </si>
  <si>
    <t>32500-00</t>
  </si>
  <si>
    <t>Микроинјекција у венурално црвенило</t>
  </si>
  <si>
    <t>32500-01</t>
  </si>
  <si>
    <t>Вишеструке инјекције у варикозне вене</t>
  </si>
  <si>
    <t>33827-01</t>
  </si>
  <si>
    <t>Репарација југуларне вене директном анастомозом</t>
  </si>
  <si>
    <t>33848-00</t>
  </si>
  <si>
    <t>Контрола постоперативног крварења или тромбозе у екстремитету после васкуларне процедуре</t>
  </si>
  <si>
    <t>34515-00</t>
  </si>
  <si>
    <t>Тромбектомија артериовенске фистуле</t>
  </si>
  <si>
    <t>Уклањање артеријског катетера</t>
  </si>
  <si>
    <t>36800-02</t>
  </si>
  <si>
    <t>Замена супрапубичног катетера (цистостомског)</t>
  </si>
  <si>
    <t>Дилатација стенозе јетре (френулотомија)</t>
  </si>
  <si>
    <t>38448-00</t>
  </si>
  <si>
    <t>Експлорација медијастинума цервикални приступ</t>
  </si>
  <si>
    <t xml:space="preserve">44338-00 </t>
  </si>
  <si>
    <t xml:space="preserve">44358-00 </t>
  </si>
  <si>
    <t>Ампутација прста на нози са метатарзалном кости</t>
  </si>
  <si>
    <t>46531-00</t>
  </si>
  <si>
    <t>Парцијалнма ресекција ураслог нокта на прсту шаке</t>
  </si>
  <si>
    <t>47916-00</t>
  </si>
  <si>
    <t>Парцијална ресекција ураслог нокта на прсту стопала</t>
  </si>
  <si>
    <t>55816-01</t>
  </si>
  <si>
    <t>Остале процедуре на артеријам</t>
  </si>
  <si>
    <t>90232-00</t>
  </si>
  <si>
    <t>Директно затварање осталих вена</t>
  </si>
  <si>
    <t>90311-00</t>
  </si>
  <si>
    <t>Остале процедуре на слепом цреву</t>
  </si>
  <si>
    <t>90313-00</t>
  </si>
  <si>
    <t>Остале процедуре репарације ректума</t>
  </si>
  <si>
    <t xml:space="preserve">90313-01 </t>
  </si>
  <si>
    <t>Мануелна редукција пролапса ректума</t>
  </si>
  <si>
    <t>90338-00</t>
  </si>
  <si>
    <t>Инцизија ректума или ануса</t>
  </si>
  <si>
    <t>90338-001</t>
  </si>
  <si>
    <t>Колотомија са полипектомијом</t>
  </si>
  <si>
    <t>90663-00</t>
  </si>
  <si>
    <t>Лигатура дермалних додатака</t>
  </si>
  <si>
    <t>Обрада опекотине без ексцизије</t>
  </si>
  <si>
    <t>90720-00</t>
  </si>
  <si>
    <t>Остале процедуре на дојкама</t>
  </si>
  <si>
    <t>90721-00</t>
  </si>
  <si>
    <t>Мануелни преглед дојке</t>
  </si>
  <si>
    <t>90725-00</t>
  </si>
  <si>
    <t>Аспирација дојке</t>
  </si>
  <si>
    <t xml:space="preserve">90952-00 </t>
  </si>
  <si>
    <t>Инцизија трбушног зида</t>
  </si>
  <si>
    <t>Замена каниле за трахеостомију</t>
  </si>
  <si>
    <t>92049-00</t>
  </si>
  <si>
    <t>Уклањање цевчице након торакотомије или дрена плеуралне</t>
  </si>
  <si>
    <t>92061-00</t>
  </si>
  <si>
    <t>Трансфузија фактора коагулације</t>
  </si>
  <si>
    <t xml:space="preserve">92065-00 </t>
  </si>
  <si>
    <t>Тампонада ректума</t>
  </si>
  <si>
    <t xml:space="preserve">92066-00 </t>
  </si>
  <si>
    <t xml:space="preserve"> Пласирање цеви у ректум</t>
  </si>
  <si>
    <t>92097-00</t>
  </si>
  <si>
    <t>Уклањање Т- дрена, осталих дренова из билијарних канала или јетре</t>
  </si>
  <si>
    <t>Уклањањее катетера уретеростоме или уретералног каетера</t>
  </si>
  <si>
    <t xml:space="preserve">92119-00 </t>
  </si>
  <si>
    <t xml:space="preserve">Уклањање осталих дренажних система уринарног система </t>
  </si>
  <si>
    <t>Уклањање страног тела са главе или врата без инцизије</t>
  </si>
  <si>
    <t xml:space="preserve">Уклањање завоја са трупа, некласификовано на другом месту </t>
  </si>
  <si>
    <t>92201-00</t>
  </si>
  <si>
    <t>Уклањање страног тела без инцизије, некласификовано на другом месту</t>
  </si>
  <si>
    <t>Утврђивање  мождане смрти</t>
  </si>
  <si>
    <t>Инфилтрација локалног анестетика, AСA 40</t>
  </si>
  <si>
    <t>Инфилтрација локалног анестетика, AСA 49</t>
  </si>
  <si>
    <t>96027-00</t>
  </si>
  <si>
    <t>Процена узимања прописаних лекова</t>
  </si>
  <si>
    <t>Саветовање или подучавањее о исхрани/дневном уносу хране</t>
  </si>
  <si>
    <t>Саветовање или подучавањее о губитку слуха или поремећајуима слуха</t>
  </si>
  <si>
    <t>Саветовање или подучавањее оодржавању здравља и опоравку</t>
  </si>
  <si>
    <t>Интрамускуларно давање фармаколошког средства, антинеопластично</t>
  </si>
  <si>
    <t>Интрамускуларно давање фармаколошког средства,тромболитичко средство</t>
  </si>
  <si>
    <t>Интрамускуларно давање фармаколошког средства, инсулин</t>
  </si>
  <si>
    <t>Субкутано давање фармаколошког средства, антиинфективно средство</t>
  </si>
  <si>
    <t>96200-04</t>
  </si>
  <si>
    <t>Субкутано давање фармаколоантидот</t>
  </si>
  <si>
    <t>96200-07</t>
  </si>
  <si>
    <t>Субкутано давање фармаколошког средства, храњива супстанца</t>
  </si>
  <si>
    <t>96200-08</t>
  </si>
  <si>
    <t>Субкутано давање фармаколошког средства, електролит</t>
  </si>
  <si>
    <t>Неозначен начин давања фармаколошког средства, друго и некласификовано фармаколошко средство</t>
  </si>
  <si>
    <t>Остала саветовања или подучавања</t>
  </si>
  <si>
    <t>Израда уређаја или опреме за помоћ или прилагођавање</t>
  </si>
  <si>
    <t>96121-00</t>
  </si>
  <si>
    <t>Пратња или транспорт клијената</t>
  </si>
  <si>
    <t>Пуњење уређаја за давање лека, друго и некласификовано фамаколошко средство</t>
  </si>
  <si>
    <t>L019224</t>
  </si>
  <si>
    <t>Бактериолошки преглед дубоке ране односно гноја односно пунката односно ексудата односно биоптата</t>
  </si>
  <si>
    <t>L027805</t>
  </si>
  <si>
    <t>Преглед хемороидног надуса</t>
  </si>
  <si>
    <t>L027755</t>
  </si>
  <si>
    <t>Преглед ректума</t>
  </si>
  <si>
    <t>Узимање биолошког материјал з микробиолошки преглед</t>
  </si>
  <si>
    <t>Узимање биолошког материјал з микробиолошки преглед у транспортну подлогу</t>
  </si>
  <si>
    <t>L026088</t>
  </si>
  <si>
    <t>Консултације за постављање генетичке дијагнозе</t>
  </si>
  <si>
    <t>SLIS-CRP</t>
  </si>
  <si>
    <t>CRP</t>
  </si>
  <si>
    <t>SLIS-KKS</t>
  </si>
  <si>
    <t>KKS</t>
  </si>
  <si>
    <t>44358-00</t>
  </si>
  <si>
    <t>58936-00</t>
  </si>
  <si>
    <t>Холангиографија са инфузијом контрасног средства</t>
  </si>
  <si>
    <t>Регионална блокада, нерва главе или врата, АСА 19</t>
  </si>
  <si>
    <t>92200-01</t>
  </si>
  <si>
    <t>35608-01</t>
  </si>
  <si>
    <t xml:space="preserve">Остале процедуре деструкције промена на грлићу материце </t>
  </si>
  <si>
    <t>90762-00</t>
  </si>
  <si>
    <t>Планирање лечења фармакотерапијом, прва кура</t>
  </si>
  <si>
    <t>90762-01</t>
  </si>
  <si>
    <t>Планирање лечења фармакотерапијом, друга кура</t>
  </si>
  <si>
    <t>Пласирање оталих вагиналних песара</t>
  </si>
  <si>
    <t>92109-00</t>
  </si>
  <si>
    <t>Замена осталих вагиналних песара</t>
  </si>
  <si>
    <t>92130-00</t>
  </si>
  <si>
    <t>Папаниколау (ПАП) тест</t>
  </si>
  <si>
    <t>96201-00</t>
  </si>
  <si>
    <t>Интракавитарно давање фармаколошког средства, антинеопластично средство</t>
  </si>
  <si>
    <t>Орално давање фармаколошког средства,друго и некласификовано фармаколошко средство</t>
  </si>
  <si>
    <t>96209-03</t>
  </si>
  <si>
    <t>Пуњење уређаја за давање лека, стероид</t>
  </si>
  <si>
    <t>Пуњење уређаја за давање лека, друго и некласификовано фармаколошко  средство</t>
  </si>
  <si>
    <t>Континуирано амбуланторно мерење гликемије методом накнадног и истовременог очитавања</t>
  </si>
  <si>
    <t>Израда и подешавање уређаја за имобилизацију, једноставана</t>
  </si>
  <si>
    <t>96073-00</t>
  </si>
  <si>
    <t xml:space="preserve">Интравенско давање фармаколошког </t>
  </si>
  <si>
    <t>Орално давање фармаколошког средства, антинеоплатично  средство</t>
  </si>
  <si>
    <t>96206-00</t>
  </si>
  <si>
    <t>Неназначен начин давања фармаколошког средства, антинеопластичко средство</t>
  </si>
  <si>
    <t>96206-03</t>
  </si>
  <si>
    <t xml:space="preserve">Неназначен начин давања фармаколошког средства </t>
  </si>
  <si>
    <t>СЛУЖБА ЗА ПРОДУЖЕНО ЛЕЧЕЊЕ И ФИЗИКАЛНУ МЕДИЦИНУ - 
ОДСЕК ЗА ПАЛИЈАТИВНО ЗБРИЊАВАЊЕ</t>
  </si>
  <si>
    <t>090047</t>
  </si>
  <si>
    <t>Учествовање социјалног радника  у стручном тиму</t>
  </si>
  <si>
    <t>090207</t>
  </si>
  <si>
    <t>Планирани интервју</t>
  </si>
  <si>
    <t>Трансфузија  тромбоцита</t>
  </si>
  <si>
    <t>13709-02</t>
  </si>
  <si>
    <t>Трансфузија  еритроцита</t>
  </si>
  <si>
    <t>Гасне анализе</t>
  </si>
  <si>
    <t>Изрда индивидуалних извештаја (Извештаји о хоспитализацији, пријава порођаја, пријава побачаја, потврда о смрти, пријава заразне болести, пријава малигног обољења и друго)</t>
  </si>
  <si>
    <t>Замена каниле</t>
  </si>
  <si>
    <t>Аспирирање</t>
  </si>
  <si>
    <t>Замена (назо-)гастричне сонде или цеви езофагостоме</t>
  </si>
  <si>
    <t>Испирање уретеростоме или уретералног ктетера</t>
  </si>
  <si>
    <t>Примена, намештање, прилагођавање или замена помагала или уређаја за прилагођавање</t>
  </si>
  <si>
    <t>Интравенско давање фармаколошког средства, анинеопластично средство</t>
  </si>
  <si>
    <t>Субкутано давање фармаколошког средства,неопластично средство</t>
  </si>
  <si>
    <t>Субкутано давање фармаколошког средства,  хрнљива супстанца</t>
  </si>
  <si>
    <t>Субкутано давање фармаколошког средства,  електролит</t>
  </si>
  <si>
    <t>090001</t>
  </si>
  <si>
    <t>Површинска индивидуална психотерапија</t>
  </si>
  <si>
    <t>090002</t>
  </si>
  <si>
    <t>Дубинска индивидуална психотерапија</t>
  </si>
  <si>
    <t>090003</t>
  </si>
  <si>
    <t>Групна психотерапија - по једној сеанси</t>
  </si>
  <si>
    <t>090004</t>
  </si>
  <si>
    <t>Информативни интервју психолога</t>
  </si>
  <si>
    <t>090008</t>
  </si>
  <si>
    <t>Индивидуални психолошки третман пацијента</t>
  </si>
  <si>
    <t>090009</t>
  </si>
  <si>
    <t>Индивидуални рад психолога са родитељима</t>
  </si>
  <si>
    <t>090012</t>
  </si>
  <si>
    <t>Писмени налаз и мишљење психолога</t>
  </si>
  <si>
    <t>090013</t>
  </si>
  <si>
    <t>Брза процена интелигенције</t>
  </si>
  <si>
    <t>090014</t>
  </si>
  <si>
    <t>Тестовно комплетно испитивање интелигенције</t>
  </si>
  <si>
    <t>090015</t>
  </si>
  <si>
    <t>Породична или брачна психотерапија</t>
  </si>
  <si>
    <t>090017</t>
  </si>
  <si>
    <t>Експлоарација личности</t>
  </si>
  <si>
    <t>090019</t>
  </si>
  <si>
    <t>Процена органског оштећења</t>
  </si>
  <si>
    <t>090020</t>
  </si>
  <si>
    <t>Диференцијална дијагноза - тестови - обрада</t>
  </si>
  <si>
    <t>090021</t>
  </si>
  <si>
    <t>Социотерапијска и индивидуална сеанса</t>
  </si>
  <si>
    <t>090022</t>
  </si>
  <si>
    <t>Тимска обрада</t>
  </si>
  <si>
    <t>090023</t>
  </si>
  <si>
    <t>Информативни интервју психијатра</t>
  </si>
  <si>
    <t>090024</t>
  </si>
  <si>
    <t>Комисијска клиничка експертиза - психијатријска</t>
  </si>
  <si>
    <t>090025</t>
  </si>
  <si>
    <t>Интезивни диспанзерски третман болесника у зависности - детекциона терапија, социотерапијски третман указивање помоћи</t>
  </si>
  <si>
    <t>090027</t>
  </si>
  <si>
    <t>Социјална анкета на терену</t>
  </si>
  <si>
    <t>090028</t>
  </si>
  <si>
    <t>Социјална анкета у установи</t>
  </si>
  <si>
    <t>090029</t>
  </si>
  <si>
    <t>Комисијски неуропсихијатриски преглед од стране вештака</t>
  </si>
  <si>
    <t>090035</t>
  </si>
  <si>
    <t>Давање краћих извештаја о раније леченим испитаницима</t>
  </si>
  <si>
    <t>090036</t>
  </si>
  <si>
    <t>Проучавање судских списа куцаних машином (од стране једног вештака)</t>
  </si>
  <si>
    <t>090039</t>
  </si>
  <si>
    <t>Писмени налаз и мишљење социјалног радника</t>
  </si>
  <si>
    <t>090042</t>
  </si>
  <si>
    <t>Групна социотерапија</t>
  </si>
  <si>
    <t>090043</t>
  </si>
  <si>
    <t>Информативни интервју социјалног радника</t>
  </si>
  <si>
    <t>090045</t>
  </si>
  <si>
    <t>Социотерапијски рад са члановима породице или колектива</t>
  </si>
  <si>
    <t>090046</t>
  </si>
  <si>
    <t>Сарадња са службама и стручњацима социјалне и здравствене заштите и других институција</t>
  </si>
  <si>
    <t>Учествовање социјалног радника у стручном тиму</t>
  </si>
  <si>
    <t>090053</t>
  </si>
  <si>
    <t>Експертиза-давање налаза и мишљења од стране два вештака у компликованим случајевима</t>
  </si>
  <si>
    <t>090076</t>
  </si>
  <si>
    <t>Хамилтон (Hamilton) рејтинг скала за депресију</t>
  </si>
  <si>
    <t>090077</t>
  </si>
  <si>
    <t>БПРС (BPRS) скала за психозе</t>
  </si>
  <si>
    <t>090079</t>
  </si>
  <si>
    <t>Секундарна и терцијална превенција</t>
  </si>
  <si>
    <t>090095</t>
  </si>
  <si>
    <t>Бек (Beck) скала за депресије</t>
  </si>
  <si>
    <t>090096</t>
  </si>
  <si>
    <t>Дексаметазонски тест за депресију</t>
  </si>
  <si>
    <t>090099</t>
  </si>
  <si>
    <t>Пролактин дијагностички тест</t>
  </si>
  <si>
    <t>090106</t>
  </si>
  <si>
    <t>Роршахов (Rorschach) тест испитивања личности</t>
  </si>
  <si>
    <t>090202</t>
  </si>
  <si>
    <t>Психолошко испитивање</t>
  </si>
  <si>
    <t>090203</t>
  </si>
  <si>
    <t>Анализа резултата добијених психолошким испитивањем, интеграција и формирање закључака</t>
  </si>
  <si>
    <t>Прикупљање хетеро-анамнестичких података на терену</t>
  </si>
  <si>
    <t>090209</t>
  </si>
  <si>
    <t>Састанак савета ТЗ</t>
  </si>
  <si>
    <t>090210</t>
  </si>
  <si>
    <t>Социотерапијски рад са члановима породице у кућним условима</t>
  </si>
  <si>
    <t>090214</t>
  </si>
  <si>
    <t>Посета породици или радној организацији пред болесников повратак са лечења</t>
  </si>
  <si>
    <t>090216</t>
  </si>
  <si>
    <t>Смештај пацијената у социјалну установу</t>
  </si>
  <si>
    <t>11000-00</t>
  </si>
  <si>
    <t>ЕЕГ-снимање</t>
  </si>
  <si>
    <t>Екг снимање</t>
  </si>
  <si>
    <t>Детекција  ПАС -урин  тест</t>
  </si>
  <si>
    <t xml:space="preserve">92006-00 </t>
  </si>
  <si>
    <t>Детоксикација од дрога</t>
  </si>
  <si>
    <t>Орално давање фармаколошког средства,стероид</t>
  </si>
  <si>
    <t>96203-07</t>
  </si>
  <si>
    <t>Орално давање фармаколошког средства, хранљива супстанца</t>
  </si>
  <si>
    <t>96205-00</t>
  </si>
  <si>
    <t>Неки други начин давања фармаколошког средства, антинеопластичко средство</t>
  </si>
  <si>
    <t>L023358</t>
  </si>
  <si>
    <t>Илегалне дроге у урину - тест траком</t>
  </si>
  <si>
    <t>L023580</t>
  </si>
  <si>
    <t>Опијати у урину - ТЛЦ</t>
  </si>
  <si>
    <t>L018192</t>
  </si>
  <si>
    <t>АБО/РхД крвна група - епрувета</t>
  </si>
  <si>
    <t>ДНЕВНА БОЛНИЦА</t>
  </si>
  <si>
    <t xml:space="preserve">13709-00 </t>
  </si>
  <si>
    <t>Скупљање крви за трансфузију</t>
  </si>
  <si>
    <t>47363-031</t>
  </si>
  <si>
    <t>L000026</t>
  </si>
  <si>
    <t>Узорковањекрви ( венепункција)</t>
  </si>
  <si>
    <t>L000042</t>
  </si>
  <si>
    <t>Пријем,контрола квалитета и припрема узорка за лабораторијска испитивања</t>
  </si>
  <si>
    <t>L014332</t>
  </si>
  <si>
    <t>Активирано парцијално тромбопластинско време(аПТТ) у плазми - коагулометријски</t>
  </si>
  <si>
    <t>L014431</t>
  </si>
  <si>
    <t>Д-димер у плазми, семиквантитативно</t>
  </si>
  <si>
    <t>L014696</t>
  </si>
  <si>
    <t>Фибриноген односно фибрин деградациони продукти у плазми</t>
  </si>
  <si>
    <t>L015040</t>
  </si>
  <si>
    <t>Протромбинско време (ПТ и ИНР) у плазми коагулометријски</t>
  </si>
  <si>
    <t>L015214</t>
  </si>
  <si>
    <t>Тромботест у плазми или крви</t>
  </si>
  <si>
    <t>L015271</t>
  </si>
  <si>
    <t>Време крварења ( Дуке)</t>
  </si>
  <si>
    <t>L018168</t>
  </si>
  <si>
    <t>АБО крвна група - плочица</t>
  </si>
  <si>
    <t>L018200</t>
  </si>
  <si>
    <t>АБО/РхД крвна група, хумана антитела - микроепрувета</t>
  </si>
  <si>
    <t>L018275</t>
  </si>
  <si>
    <t>Интереакција , еритроцити даваоца и серум примаоца- епрувета</t>
  </si>
  <si>
    <t>L018309</t>
  </si>
  <si>
    <t>Испитивање пострансфузионе реакције- епрувета</t>
  </si>
  <si>
    <t>L018440</t>
  </si>
  <si>
    <t>Полиспецифичан директан Коомбсов тест ( ДАТ) - епрувета</t>
  </si>
  <si>
    <t>L018713</t>
  </si>
  <si>
    <t>Типизација антигена М, епрувета</t>
  </si>
  <si>
    <t>L018762</t>
  </si>
  <si>
    <t>Типизација антигена С - епрувета</t>
  </si>
  <si>
    <t>L018770</t>
  </si>
  <si>
    <t>L018804</t>
  </si>
  <si>
    <t>Типизација појединачних специфичности Рх фенотипа(Ц,ц,Д,Е,е)епрувета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</si>
  <si>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</si>
  <si>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</si>
  <si>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</si>
  <si>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антигена-епрувета</t>
  </si>
  <si>
    <t>L018911</t>
  </si>
  <si>
    <t>Типизација РхД веак  антигена-епрувета</t>
  </si>
  <si>
    <t>L019026</t>
  </si>
  <si>
    <t>Индиректан Коомбсов тест ( ИАТ) - епрувета</t>
  </si>
  <si>
    <t>L019042</t>
  </si>
  <si>
    <t>Скрининг тест еритроцитних антитела (ензимски) -епрувета</t>
  </si>
  <si>
    <t>L019091</t>
  </si>
  <si>
    <t>Скрининг тест еритроцитних антитела (AHG) -епрувета</t>
  </si>
  <si>
    <t>L019562</t>
  </si>
  <si>
    <t>Детекција антитела(ИгМ или ИгГ) на Трепонем  паллидум- Елиса</t>
  </si>
  <si>
    <t>L020578</t>
  </si>
  <si>
    <t>Квалитативно одређивање  антитела за ХЦВ-Елиса</t>
  </si>
  <si>
    <t>L020586</t>
  </si>
  <si>
    <t>Квалитативно одређивање  антитела за ХИВ-Елиса</t>
  </si>
  <si>
    <t>L020602</t>
  </si>
  <si>
    <t>Квалитативно одређивање антигена и   антитела за ХИВ-Елиса</t>
  </si>
  <si>
    <t>L020677</t>
  </si>
  <si>
    <t>Квалитативно одређивање антигена  за ХБС Аг- Елиса</t>
  </si>
  <si>
    <t>L018481</t>
  </si>
  <si>
    <t>Типизација антигена А1 - епрувета</t>
  </si>
  <si>
    <t>L018564</t>
  </si>
  <si>
    <t>Типизација антигена Х - епрувета</t>
  </si>
  <si>
    <t>L018416</t>
  </si>
  <si>
    <t>Моноспецифичан директан Коомбс-ов тест (ДАТ) - микроепрувета</t>
  </si>
  <si>
    <t>L019034</t>
  </si>
  <si>
    <t>Индиректан Коомбс-ов тест  (ИАТ) - микроепрувета</t>
  </si>
  <si>
    <t>L019059</t>
  </si>
  <si>
    <t>Скрининг тест еритроцитних антитела (ензимски) - микроепрувета</t>
  </si>
  <si>
    <t>L019075</t>
  </si>
  <si>
    <t>Скрининг тест ериторцитних антитела АХГ - микроепрувета</t>
  </si>
  <si>
    <t>Континуирана перитонеална дијализа, дугорочна</t>
  </si>
  <si>
    <t>13104-00</t>
  </si>
  <si>
    <t>Едукација и обука за кућну дијализу</t>
  </si>
  <si>
    <t>13110-00</t>
  </si>
  <si>
    <t>Уклањање пребивајућег перитонеалног катетера ради перитонеалне дијализе</t>
  </si>
  <si>
    <t>90353-01</t>
  </si>
  <si>
    <t>Тест адекватности перитонеалне дијализе</t>
  </si>
  <si>
    <t>Субкутано давање фармаколошког средства,друго и и некласиф.фармаколо.средство</t>
  </si>
  <si>
    <t>Хемодијализа</t>
  </si>
  <si>
    <t>Континуирана хемодиафилтрација</t>
  </si>
  <si>
    <t>90353-00</t>
  </si>
  <si>
    <t>Тест адекватности хемодијализе</t>
  </si>
  <si>
    <t>Трансфузија крвних компонената и деривата</t>
  </si>
  <si>
    <t>УКУПНО - дневна болница</t>
  </si>
  <si>
    <t>УКУПНО - остале услуге</t>
  </si>
  <si>
    <r>
      <rPr>
        <b/>
        <sz val="11"/>
        <color theme="1"/>
        <rFont val="Calibri"/>
        <family val="2"/>
        <scheme val="minor"/>
      </rPr>
      <t xml:space="preserve">Напомена: </t>
    </r>
    <r>
      <rPr>
        <sz val="10"/>
        <rFont val="HelveticaPlain"/>
      </rPr>
      <t>Услуга Континуирана перитонеална дијализа, дугорочна (13100-08) планирана је у мањем обиму у односу на реализацију из разлга што је 5 пацијената егзитирало који су били на овом програму дијализе а један пацијент се сада контролише у Центру за дијализу у Ивањици.</t>
    </r>
  </si>
  <si>
    <t>30.06.2018.г.</t>
  </si>
  <si>
    <t>'Број прегледаних узорака</t>
  </si>
  <si>
    <t xml:space="preserve">А. </t>
  </si>
  <si>
    <t>Биохемијске и хематолошке анализе укупно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</si>
  <si>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</si>
  <si>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</si>
  <si>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</si>
  <si>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</si>
  <si>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</si>
  <si>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L000158</t>
  </si>
  <si>
    <t>Алкохол у крви - ФПИА, МЕИА односно ЦМИА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</si>
  <si>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</si>
  <si>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</si>
  <si>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</si>
  <si>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</si>
  <si>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</si>
  <si>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</si>
  <si>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</si>
  <si>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</si>
  <si>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</si>
  <si>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</si>
  <si>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</si>
  <si>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</si>
  <si>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</si>
  <si>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</si>
  <si>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</si>
  <si>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</si>
  <si>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</si>
  <si>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</si>
  <si>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</si>
  <si>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</si>
  <si>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</si>
  <si>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</si>
  <si>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</si>
  <si>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</si>
  <si>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L002410</t>
  </si>
  <si>
    <t xml:space="preserve">Фоликулостимулирајући хормон (фолитропин, ФСХ) у серуму - ФПИА, МЕИА, ЦМИА односно ЕЦЛИА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</si>
  <si>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</si>
  <si>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</si>
  <si>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</si>
  <si>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</si>
  <si>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</si>
  <si>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</si>
  <si>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</si>
  <si>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</si>
  <si>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</si>
  <si>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</si>
  <si>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</si>
  <si>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</si>
  <si>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L002865</t>
  </si>
  <si>
    <t xml:space="preserve">Холестерол, ХДЛ3 - у серуму </t>
  </si>
  <si>
    <t>L002899</t>
  </si>
  <si>
    <t xml:space="preserve">Холестерол, ЛДЛ - у серуму - спектрофотометријом </t>
  </si>
  <si>
    <t>L003061</t>
  </si>
  <si>
    <t xml:space="preserve">Имуноглобулин А (ИгА) у серуму - имунотурбидиметријом </t>
  </si>
  <si>
    <t>L003129</t>
  </si>
  <si>
    <t xml:space="preserve">Имуноглобулин Е (ИгЕ) у серуму - имунотурбидиметријом </t>
  </si>
  <si>
    <t>L003145</t>
  </si>
  <si>
    <t xml:space="preserve">Имуноглобулин Г (ИгГ) у серуму - имунотурбидиметријом </t>
  </si>
  <si>
    <t>L003251</t>
  </si>
  <si>
    <t xml:space="preserve">Имуноглобулин М (ИгМ) у серуму - имунотурбидиметријом </t>
  </si>
  <si>
    <t>L003327</t>
  </si>
  <si>
    <t xml:space="preserve">Инсулин у серуму - ФПИА, МЕИА, ЦМИА, ЕЦЛИА, односно ЕЛИСА </t>
  </si>
  <si>
    <t>L003749</t>
  </si>
  <si>
    <t xml:space="preserve">Калцијум у серуму - спектрофотометријом </t>
  </si>
  <si>
    <t>L003756</t>
  </si>
  <si>
    <t xml:space="preserve">Калцијум, јонизовани у серуму - јон-селективном електродом (ЈСЕ)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</si>
  <si>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</si>
  <si>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</si>
  <si>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</si>
  <si>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</si>
  <si>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</si>
  <si>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</si>
  <si>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</si>
  <si>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</si>
  <si>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</si>
  <si>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</si>
  <si>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L004176</t>
  </si>
  <si>
    <t xml:space="preserve">Кортизол у серуму - ЦМИА односно ЕЦЛИА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</si>
  <si>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</si>
  <si>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</si>
  <si>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</si>
  <si>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</si>
  <si>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L004325</t>
  </si>
  <si>
    <t xml:space="preserve">Креатинин у серуму-ензимском методом </t>
  </si>
  <si>
    <t>L004416</t>
  </si>
  <si>
    <t xml:space="preserve">Лактат дехидрогеназа (ЛДХ) у серуму - спектрофотометрија </t>
  </si>
  <si>
    <t>L004572</t>
  </si>
  <si>
    <t>Литијум у серуму-спектрофотометријом</t>
  </si>
  <si>
    <t>L004622</t>
  </si>
  <si>
    <t xml:space="preserve">Лутеинизирајући хормон (лутропин, ЛХ) у серуму - ФПИА, МЕИА ЦМИА односно ЕЦЛИА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</si>
  <si>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</si>
  <si>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</si>
  <si>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</si>
  <si>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</si>
  <si>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</si>
  <si>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</si>
  <si>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L005249</t>
  </si>
  <si>
    <t>NT PRO-BNP</t>
  </si>
  <si>
    <t>L005256</t>
  </si>
  <si>
    <t xml:space="preserve">Прогестерон (П4) у серуму - ФПИА, МЕИА, ЦМИА односно ЕЦЛИА </t>
  </si>
  <si>
    <t>L005298</t>
  </si>
  <si>
    <t xml:space="preserve">Прокалцитонин (ПЦТ) у серуму </t>
  </si>
  <si>
    <t>L005306</t>
  </si>
  <si>
    <t xml:space="preserve">Пролактин (ПРЛ) у серуму - ФПИА, МЕИА,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</si>
  <si>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</si>
  <si>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</si>
  <si>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</si>
  <si>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</si>
  <si>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</si>
  <si>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</si>
  <si>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L005801</t>
  </si>
  <si>
    <t xml:space="preserve">Тестостерон, укупан у серуму - ФПИА, МЕИА, ЦМИА односно ЕЦЛИА </t>
  </si>
  <si>
    <t>L005843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</si>
  <si>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</si>
  <si>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</si>
  <si>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</si>
  <si>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</si>
  <si>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</si>
  <si>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L005967</t>
  </si>
  <si>
    <t xml:space="preserve">Тироксин, укупан (Т4)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</si>
  <si>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</si>
  <si>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</si>
  <si>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</si>
  <si>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</si>
  <si>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L006106</t>
  </si>
  <si>
    <t xml:space="preserve">Тријодтиронин, укупан (Т3) у серуму - ФПИА, МЕИА, ЦМИА </t>
  </si>
  <si>
    <t>L006171</t>
  </si>
  <si>
    <t xml:space="preserve">Тропонин И у серуму </t>
  </si>
  <si>
    <t>L006239</t>
  </si>
  <si>
    <t xml:space="preserve">УИБЦ (незасићени капацитет везивања гвожђа) у серуму </t>
  </si>
  <si>
    <t>L006254</t>
  </si>
  <si>
    <t>Уреа у серуму-спектрофотометријом</t>
  </si>
  <si>
    <t>L000018</t>
  </si>
  <si>
    <t xml:space="preserve">Узорковање крви (микроузорковање) </t>
  </si>
  <si>
    <t xml:space="preserve">Узорковање крви (венепункција) </t>
  </si>
  <si>
    <t>Пријем, контрола квалитета узорка и припрема узорка за лабораторијска испитивања*</t>
  </si>
  <si>
    <t>L013250</t>
  </si>
  <si>
    <t>Цитолошко  испитивање синовијалне течности</t>
  </si>
  <si>
    <t>L013995</t>
  </si>
  <si>
    <t>Еозинофили (Ео) у крви</t>
  </si>
  <si>
    <t>L014092</t>
  </si>
  <si>
    <t>Крвна слика (Хб, Ер, Хцт, МЦВ, МЦХ, МЦХЦ, Ле, Тр, ЛеФ, ПДW, МПВ)</t>
  </si>
  <si>
    <t>Леукоцитарна формула (ЛеФ) - ручно</t>
  </si>
  <si>
    <t>L014134</t>
  </si>
  <si>
    <t>Лупус Еритематодес (ЛЕ) ћелије из крви или костне сржи</t>
  </si>
  <si>
    <t>L014159</t>
  </si>
  <si>
    <t>Одређивање броја леукоцита (Ле) у крви</t>
  </si>
  <si>
    <t>L014167</t>
  </si>
  <si>
    <t>Одређивање броја ретикулоцита у крви - аутоматски</t>
  </si>
  <si>
    <t>L014183</t>
  </si>
  <si>
    <t>Одређивање броја тромбоцита (Тр) у крви</t>
  </si>
  <si>
    <t>L014191</t>
  </si>
  <si>
    <t>Осмотска резистенција еритроцита</t>
  </si>
  <si>
    <t>L014209</t>
  </si>
  <si>
    <t xml:space="preserve">Седиментација еритроцита (СЕ) </t>
  </si>
  <si>
    <t>Активирано парцијално тромбопластинско време (аРТТ) у плазми - коагулометријски</t>
  </si>
  <si>
    <t>L014720</t>
  </si>
  <si>
    <t xml:space="preserve">Фибриноген у плазми </t>
  </si>
  <si>
    <t>L008912</t>
  </si>
  <si>
    <t xml:space="preserve">Алфа-амилаза у урину </t>
  </si>
  <si>
    <t>l008946</t>
  </si>
  <si>
    <t>Билрубин ( укупни ) у урину</t>
  </si>
  <si>
    <t>L009019</t>
  </si>
  <si>
    <t xml:space="preserve">Фосфор, неоргански у урину </t>
  </si>
  <si>
    <t>L009241</t>
  </si>
  <si>
    <t xml:space="preserve">Калцијум у урину </t>
  </si>
  <si>
    <t>L010462</t>
  </si>
  <si>
    <t>Натријум у дневном урину</t>
  </si>
  <si>
    <t>L009456</t>
  </si>
  <si>
    <t xml:space="preserve">Протеини у урину - сулфосалицилном киселином </t>
  </si>
  <si>
    <t>L009639</t>
  </si>
  <si>
    <t xml:space="preserve">Албумин (микроалбуминурија) у дневном урину </t>
  </si>
  <si>
    <t>L009910</t>
  </si>
  <si>
    <t xml:space="preserve">Фосфор, неоргански у дневном урину </t>
  </si>
  <si>
    <t>L009993</t>
  </si>
  <si>
    <t xml:space="preserve">Хлориди у дневном урину </t>
  </si>
  <si>
    <t>L010173</t>
  </si>
  <si>
    <t xml:space="preserve">Калцијум у дневном урину </t>
  </si>
  <si>
    <t>L010181</t>
  </si>
  <si>
    <t xml:space="preserve">Калијум у дневном урину </t>
  </si>
  <si>
    <t>L010264</t>
  </si>
  <si>
    <t xml:space="preserve">Креатинин клиренс у дневном урину </t>
  </si>
  <si>
    <t>L010272</t>
  </si>
  <si>
    <t xml:space="preserve">Креатинин у дневном урину - спектрофотометријом </t>
  </si>
  <si>
    <t xml:space="preserve">Мерење запремине 24х-урина, дневног урина </t>
  </si>
  <si>
    <t>L010447</t>
  </si>
  <si>
    <t xml:space="preserve">Мокраћна киселина у дневном урину </t>
  </si>
  <si>
    <t>L010595</t>
  </si>
  <si>
    <t xml:space="preserve">Протеини (укупни) у дневном урину </t>
  </si>
  <si>
    <t>L010751</t>
  </si>
  <si>
    <t xml:space="preserve">Уреа клиренс у дневном урину </t>
  </si>
  <si>
    <t>L013235</t>
  </si>
  <si>
    <t>Мокраћни камен-састојци</t>
  </si>
  <si>
    <t>L014415</t>
  </si>
  <si>
    <t xml:space="preserve">Д-димер у плазми </t>
  </si>
  <si>
    <t>L011510</t>
  </si>
  <si>
    <t>Седимент, диференцијално бројање у ликвору</t>
  </si>
  <si>
    <t xml:space="preserve">Протромбинско време (ПТ и ИНР вредност) у плазми - коагулометријски </t>
  </si>
  <si>
    <t>L015057</t>
  </si>
  <si>
    <t xml:space="preserve">Протромбинско време (ПТ) </t>
  </si>
  <si>
    <t>Време крварења (Дуке)</t>
  </si>
  <si>
    <t>L010769</t>
  </si>
  <si>
    <t xml:space="preserve">Уреа у дневном урину </t>
  </si>
  <si>
    <t>L010991</t>
  </si>
  <si>
    <t>Глукоза у ликвору</t>
  </si>
  <si>
    <t>L017293</t>
  </si>
  <si>
    <t>ANTI TPO EL</t>
  </si>
  <si>
    <t>L005892</t>
  </si>
  <si>
    <t>Tg</t>
  </si>
  <si>
    <t>L000232</t>
  </si>
  <si>
    <t>БНП</t>
  </si>
  <si>
    <t>L017285</t>
  </si>
  <si>
    <t>Антитела на тиреоидној пероксидазу (антиТПО) и тиреоглобулин (анти-ТГ9, ИгГ у серуму</t>
  </si>
  <si>
    <t xml:space="preserve">Б. </t>
  </si>
  <si>
    <t>Микробиолошке и паразитолошке анализе укупно</t>
  </si>
  <si>
    <t>Патохистолошке анализе укупно</t>
  </si>
  <si>
    <t>ОПШТЕ УСЛУГЕ ЗА ПАТОХИСТОЛОШКЕ АНАЛИЗЕ</t>
  </si>
  <si>
    <t>L026526</t>
  </si>
  <si>
    <t xml:space="preserve">Израда  једног необојеног серијског  препарата </t>
  </si>
  <si>
    <t>L026534</t>
  </si>
  <si>
    <t xml:space="preserve">Бојење једног серијског препарата ХЕ методом </t>
  </si>
  <si>
    <t>ЕX ТЕМПОРЕ анализа добијеног материјала</t>
  </si>
  <si>
    <t>L026559</t>
  </si>
  <si>
    <t>Консултативна или компаративна анализа биоптичког материјала</t>
  </si>
  <si>
    <t>ПАТОХИСТОЛОШКЕ АНАЛИЗЕ ТКИВА ОТОРИНОЛАРИНГОЛОШКЕ (ОРЛ) РЕГИЈЕ</t>
  </si>
  <si>
    <t>L026583</t>
  </si>
  <si>
    <t>Преглед исечка усне</t>
  </si>
  <si>
    <t>L026591</t>
  </si>
  <si>
    <t>Преглед ресекованог дела усне</t>
  </si>
  <si>
    <t>L026617</t>
  </si>
  <si>
    <t xml:space="preserve">Преглед промене на уклоњеном делу језика </t>
  </si>
  <si>
    <t>L026641</t>
  </si>
  <si>
    <t>Преглед уклоњене промене слузнице уста односно гингиве добијене ресекцијом</t>
  </si>
  <si>
    <t>L026690</t>
  </si>
  <si>
    <t>Преглед исечка пљувачне жлезде</t>
  </si>
  <si>
    <t>L026708</t>
  </si>
  <si>
    <t>Преглед уклоњене целе пљувачне жлезде</t>
  </si>
  <si>
    <t>L026732</t>
  </si>
  <si>
    <t>Преглед уклоњеног тумора носа односно синуса</t>
  </si>
  <si>
    <t>L026757</t>
  </si>
  <si>
    <t>Преглед уклоњене тонзиле</t>
  </si>
  <si>
    <t>L026781</t>
  </si>
  <si>
    <t>Преглед уклоњеног тумора ларинкса</t>
  </si>
  <si>
    <t>L026823</t>
  </si>
  <si>
    <t>Преглед промене на дела уклоњене аурикуле</t>
  </si>
  <si>
    <t>L026849</t>
  </si>
  <si>
    <t>Преглед исечка спољашњег ушног канала добијеног биопсијом</t>
  </si>
  <si>
    <t>ПАТОХИСТОЛОШКЕ АНАЛИЗЕ ПЛУЋА, ПЛЕУРЕ, МЕДИЈАСТИНУМА, ЗИДА ГРУДНОГ КОША И ДИЈАФРАГМЕ</t>
  </si>
  <si>
    <t>L026898</t>
  </si>
  <si>
    <t>Преглед исечка трахеје односно бронха добијеног биопсијом</t>
  </si>
  <si>
    <t>L026922</t>
  </si>
  <si>
    <t>Преглед садржаја трахеобронхијалног стабла добијена фибераспирацијом</t>
  </si>
  <si>
    <t>ПАТОХИСТОЛОШКЕ АНАЛИЗЕ ЛИМФНИХ ЧВОРОВА</t>
  </si>
  <si>
    <t>L027367</t>
  </si>
  <si>
    <t xml:space="preserve">Преглед једног лимфног чвора </t>
  </si>
  <si>
    <t>L027375</t>
  </si>
  <si>
    <t xml:space="preserve">Преглед анатомске групе лимфних чворова </t>
  </si>
  <si>
    <t>ПАТОХИСТОЛОШКЕ АНАЛИЗЕ ДОЈКЕ</t>
  </si>
  <si>
    <t>L027425</t>
  </si>
  <si>
    <t xml:space="preserve">Прегледа биоптата тумора дојке са кожом </t>
  </si>
  <si>
    <t>L027433</t>
  </si>
  <si>
    <t xml:space="preserve">Преглед уклоњеног тумора дојке </t>
  </si>
  <si>
    <t>L027466</t>
  </si>
  <si>
    <t xml:space="preserve">Преглед квадранта дојке </t>
  </si>
  <si>
    <t>L027474</t>
  </si>
  <si>
    <t xml:space="preserve">Преглед целе дојке </t>
  </si>
  <si>
    <t>ПАТОХИСТОЛОШКЕ АНАЛИЗЕ ЕНДОКРИНИХ ЖЛЕЗДА</t>
  </si>
  <si>
    <t>L027508</t>
  </si>
  <si>
    <t xml:space="preserve">Преглед делимично уклоњене штитњаче </t>
  </si>
  <si>
    <t>L027516</t>
  </si>
  <si>
    <t>Преглед уклоњеног лобуса штитњаче са истмусом</t>
  </si>
  <si>
    <t>L027524</t>
  </si>
  <si>
    <t>Преглед целе штитњача</t>
  </si>
  <si>
    <t>L027540</t>
  </si>
  <si>
    <t>Преглед уклоњене паратиреоидне жлезде</t>
  </si>
  <si>
    <t>L027565</t>
  </si>
  <si>
    <t>Преглед уклоњене надбубрежне жлезде односно жлезди</t>
  </si>
  <si>
    <t>ПАТОХИСТОЛОШКЕ АНАЛИЗЕ ОРГАНА И ТКИВА ДИГЕСТИВНОГ ТРАКТА</t>
  </si>
  <si>
    <t xml:space="preserve">Преглед ендоскопског узорка: једњака односно желуца односно танког односно дебелог црева односно аналног канала </t>
  </si>
  <si>
    <t xml:space="preserve">Преглед полипа желуца, односно танког црева односно дебелог црева </t>
  </si>
  <si>
    <t>L027656</t>
  </si>
  <si>
    <t xml:space="preserve">Преглед делимично ресекованог желуца </t>
  </si>
  <si>
    <t>L027664</t>
  </si>
  <si>
    <t xml:space="preserve">Преглед целог желуца </t>
  </si>
  <si>
    <t>L027730</t>
  </si>
  <si>
    <t xml:space="preserve">Преглед дела танког црева </t>
  </si>
  <si>
    <t>L027748</t>
  </si>
  <si>
    <t xml:space="preserve">Преглед дела дебелог црева </t>
  </si>
  <si>
    <t xml:space="preserve">Преглед хемороидалног нодуса </t>
  </si>
  <si>
    <t>L027813</t>
  </si>
  <si>
    <t>Преглед узорка јетре добијеног пункционом биопсијом</t>
  </si>
  <si>
    <t>L027821</t>
  </si>
  <si>
    <t xml:space="preserve">Преглед хируршки уклоњене промене у јетри </t>
  </si>
  <si>
    <t>L027839</t>
  </si>
  <si>
    <t xml:space="preserve">Преглед уклоњеног дела јетре </t>
  </si>
  <si>
    <t>L027854</t>
  </si>
  <si>
    <t xml:space="preserve">Преглед жучне кесе </t>
  </si>
  <si>
    <t>L027870</t>
  </si>
  <si>
    <t xml:space="preserve">Преглед апендикса </t>
  </si>
  <si>
    <t>L027920</t>
  </si>
  <si>
    <t xml:space="preserve">Преглед слезине </t>
  </si>
  <si>
    <t>ПАТОХИСТОЛОШКЕ АНАЛИЗЕ КОЖЕ, МЕКИХ ТКИВА И КОСТИЈУ</t>
  </si>
  <si>
    <t>L027946</t>
  </si>
  <si>
    <t xml:space="preserve">Преглед промене на кожи без одређивања граница </t>
  </si>
  <si>
    <t>L027953</t>
  </si>
  <si>
    <t xml:space="preserve">Преглед промене на кожи са одређивањем граница </t>
  </si>
  <si>
    <t>L027961</t>
  </si>
  <si>
    <t xml:space="preserve">Преглед малигног меланома коже </t>
  </si>
  <si>
    <t>L027987</t>
  </si>
  <si>
    <t xml:space="preserve">Преглед поткожне промене </t>
  </si>
  <si>
    <t>L028019</t>
  </si>
  <si>
    <t xml:space="preserve">Преглед дела тумора меких ткива </t>
  </si>
  <si>
    <t>L028027</t>
  </si>
  <si>
    <t xml:space="preserve">Преглед ампутираног прста због тумора меких ткива са одређивањем граница </t>
  </si>
  <si>
    <t>L028076</t>
  </si>
  <si>
    <t xml:space="preserve">Преглед биоптата костне сржи </t>
  </si>
  <si>
    <t>L028126</t>
  </si>
  <si>
    <t xml:space="preserve">Преглед дела коштаног тумора </t>
  </si>
  <si>
    <t>L028134</t>
  </si>
  <si>
    <t xml:space="preserve">Преглед дела мандибуле односно максиле </t>
  </si>
  <si>
    <t>L028217</t>
  </si>
  <si>
    <t xml:space="preserve">Преглед синовије добијене биопсијом </t>
  </si>
  <si>
    <t>L028241</t>
  </si>
  <si>
    <t xml:space="preserve">Преглед тетиве добијене биопсијом </t>
  </si>
  <si>
    <t>ПАТОХИСТОЛОШКЕ АНАЛИЗЕ ОРГАНА И ТКИВА УРИНАРНОГ И МУШКОГ  ГЕНИТАЛНОГ ТРАКТА</t>
  </si>
  <si>
    <t>L028316</t>
  </si>
  <si>
    <t xml:space="preserve">Преглед узорка пениса </t>
  </si>
  <si>
    <t>L028340</t>
  </si>
  <si>
    <t>Преглед целог пениса</t>
  </si>
  <si>
    <t>L028373</t>
  </si>
  <si>
    <t xml:space="preserve">Преглед узорка епидидимиса добијеног биопсијом </t>
  </si>
  <si>
    <t>L028407</t>
  </si>
  <si>
    <t xml:space="preserve">Преглед једног тестиса у целини </t>
  </si>
  <si>
    <t>L028431</t>
  </si>
  <si>
    <t xml:space="preserve">Преглед узорка простате добијена биопсијом </t>
  </si>
  <si>
    <t>L028449</t>
  </si>
  <si>
    <t xml:space="preserve">Преглед трансуретрално ресековане простате (ТУР) </t>
  </si>
  <si>
    <t>L028464</t>
  </si>
  <si>
    <t xml:space="preserve">Преглед целе простате </t>
  </si>
  <si>
    <t>L028480</t>
  </si>
  <si>
    <t xml:space="preserve">Преглед узорка мокраћне бешике добијена биопсијом </t>
  </si>
  <si>
    <t>L028498</t>
  </si>
  <si>
    <t xml:space="preserve">Преглед тумора са делом зида мокраћне бешике </t>
  </si>
  <si>
    <t>L028571</t>
  </si>
  <si>
    <t xml:space="preserve">Преглед бубрега у целини са делом уретера </t>
  </si>
  <si>
    <t>ПАТОХИСТОЛОШКЕ АНАЛИЗЕ ОРГАНА И ТКИВА ЖЕНСКОГ  ГЕНИТАЛНОГ ТРАКТА</t>
  </si>
  <si>
    <t>L028654</t>
  </si>
  <si>
    <t xml:space="preserve">Преглед узорка вагине добијеног биопсијом </t>
  </si>
  <si>
    <t>L028662</t>
  </si>
  <si>
    <t xml:space="preserve">Преглед тумора вулве односно вагине </t>
  </si>
  <si>
    <t>L028670</t>
  </si>
  <si>
    <t xml:space="preserve">Преглед узорка цервикса добијена биопсијом </t>
  </si>
  <si>
    <t>L028696</t>
  </si>
  <si>
    <t xml:space="preserve">Преглед тумора цервикса </t>
  </si>
  <si>
    <t xml:space="preserve">Преглед конизата цервикса </t>
  </si>
  <si>
    <t>L028753</t>
  </si>
  <si>
    <t xml:space="preserve">Преглед киретмана ендометријума </t>
  </si>
  <si>
    <t>L028761</t>
  </si>
  <si>
    <t xml:space="preserve">Преглед тумора утеруса </t>
  </si>
  <si>
    <t>L028787</t>
  </si>
  <si>
    <t xml:space="preserve">Преглед материце и цервикса (без аднекса) </t>
  </si>
  <si>
    <t>L028795</t>
  </si>
  <si>
    <t xml:space="preserve">Преглед материце, цервикса, једног јајника и припадајућег јајовода </t>
  </si>
  <si>
    <t>L028803</t>
  </si>
  <si>
    <t xml:space="preserve">Преглед материце, цервикса, оба јајника и припадајућих јајовода </t>
  </si>
  <si>
    <t>L028860</t>
  </si>
  <si>
    <t xml:space="preserve">Преглед целог јајника </t>
  </si>
  <si>
    <t>L028894</t>
  </si>
  <si>
    <t xml:space="preserve">Преглед целог јајовода </t>
  </si>
  <si>
    <t>L028902</t>
  </si>
  <si>
    <t xml:space="preserve">Преглед дела оментума </t>
  </si>
  <si>
    <t>ПАТОХИСТОЛОШКЕ АНАЛИЗЕ ПОСТЕЉИЦЕ</t>
  </si>
  <si>
    <t>L028936</t>
  </si>
  <si>
    <t xml:space="preserve">Преглед постељице са овојницама и пупчаником односно анализа абортног материјала </t>
  </si>
  <si>
    <t>L028944</t>
  </si>
  <si>
    <t xml:space="preserve">Преглед близаначких постељица </t>
  </si>
  <si>
    <t xml:space="preserve">ЦИТОЛОШКЕ АНАЛИЗЕ </t>
  </si>
  <si>
    <t>L029413</t>
  </si>
  <si>
    <t>Цитолошки преглед осталих размаза</t>
  </si>
  <si>
    <t>L029488</t>
  </si>
  <si>
    <t>Преглед материјала добијеног пункцијом танком иглом (ФНА): штитњаче или лимфног чвора или поткожних и других тумора</t>
  </si>
  <si>
    <t>L029496</t>
  </si>
  <si>
    <t>Преглед парафинског блока пунктата</t>
  </si>
  <si>
    <t>L029512</t>
  </si>
  <si>
    <t>Преглед размаза пунктата</t>
  </si>
  <si>
    <t>L029520</t>
  </si>
  <si>
    <t>Преглед размаза спутума</t>
  </si>
  <si>
    <t>L029389</t>
  </si>
  <si>
    <t>Преглед егзентеррата орбите</t>
  </si>
  <si>
    <t xml:space="preserve">ХИСТОХЕМИЈСКЕ И ИМУНОХИСТОХЕМИЈСКЕ МЕТОДЕ БОЈЕЊА ПАТОХИСТОЛОШКИХ ПРЕПАРАТА </t>
  </si>
  <si>
    <t>L029660</t>
  </si>
  <si>
    <t>Доказивање амилоида</t>
  </si>
  <si>
    <t>L029744</t>
  </si>
  <si>
    <t xml:space="preserve">Доказивање присуства гликогена </t>
  </si>
  <si>
    <t>L029769</t>
  </si>
  <si>
    <t xml:space="preserve">Доказивање присуства масти </t>
  </si>
  <si>
    <t>L029785</t>
  </si>
  <si>
    <t>Доказивање присуства неутралних и киселих муцина</t>
  </si>
  <si>
    <t>L029793</t>
  </si>
  <si>
    <t>Доказивање присуства пигмента у ткиву</t>
  </si>
  <si>
    <t>L029801</t>
  </si>
  <si>
    <t>L029835</t>
  </si>
  <si>
    <t xml:space="preserve">Обрада и анализа ткива применом декалцинације (Декалцинат) </t>
  </si>
  <si>
    <t>L029710</t>
  </si>
  <si>
    <t>Доказивање присуства ацидорезитетних бацила у ткиву</t>
  </si>
  <si>
    <t>КЛИНИЧКА ОБДУКЦИЈА</t>
  </si>
  <si>
    <t>L029843</t>
  </si>
  <si>
    <t xml:space="preserve">Фетална обдукција </t>
  </si>
  <si>
    <t>L029850</t>
  </si>
  <si>
    <t xml:space="preserve">Клиничка обдукција </t>
  </si>
  <si>
    <t xml:space="preserve">Г. </t>
  </si>
  <si>
    <t>ЦИТОЛОШКА ЛАБОРАТОРИЈА-АНАЛИЗЕ ОРГАНИЗОВАНОГ СКРИНИНГА  РАКА  ГРЛИЋА МАТЕРИЦЕ**</t>
  </si>
  <si>
    <t xml:space="preserve">Д. </t>
  </si>
  <si>
    <t>ЦИТОГЕНЕТСКА ЛАБОРАТОРИЈА АНАЛИЗЕ УКУПНО</t>
  </si>
  <si>
    <t xml:space="preserve">Ђ.   </t>
  </si>
  <si>
    <t>ОСТАЛЕ ЛАБОРАТОРИЈЕ ____________________   (навести које)</t>
  </si>
  <si>
    <t>Сл. за педијатрију</t>
  </si>
  <si>
    <t>Сл. за инфектологију</t>
  </si>
  <si>
    <t>Сл за дерматовенерологију</t>
  </si>
  <si>
    <t>Сл. оториноларингологије и мсф</t>
  </si>
  <si>
    <t>Сл. за неурологију</t>
  </si>
  <si>
    <t>Сл за продужено лечење и негу</t>
  </si>
  <si>
    <t>Сл за продужено лечење и негу-одсек палијативе</t>
  </si>
  <si>
    <t>Сл за интерну медиуцину</t>
  </si>
  <si>
    <t>Сл. за гинекологију</t>
  </si>
  <si>
    <t>Нефрологија и Дијализа</t>
  </si>
  <si>
    <t>Онкологија</t>
  </si>
  <si>
    <t>Интернистичке гране</t>
  </si>
  <si>
    <t>Хируршке гране</t>
  </si>
  <si>
    <t>Психијатрија</t>
  </si>
  <si>
    <t>Административно технички послови</t>
  </si>
  <si>
    <t xml:space="preserve">Правно економски </t>
  </si>
  <si>
    <t>% Извршења</t>
  </si>
  <si>
    <t>ОСТАЛИ УГРАДНИ МАТЕРИЈАЛ</t>
  </si>
  <si>
    <t xml:space="preserve">1. </t>
  </si>
  <si>
    <t>Абдоминална хирургија и гастроентерологија</t>
  </si>
  <si>
    <t>SM00004</t>
  </si>
  <si>
    <t>KLIPSEVI</t>
  </si>
  <si>
    <t>UM000001</t>
  </si>
  <si>
    <t>MREŽICA</t>
  </si>
  <si>
    <t>UM000004</t>
  </si>
  <si>
    <t>STAPLERI</t>
  </si>
  <si>
    <t>UM000005</t>
  </si>
  <si>
    <t>Ostali ugradni materijal</t>
  </si>
  <si>
    <t>UM000009</t>
  </si>
  <si>
    <t>MREŽICE ZA HERNIJE (KILE)</t>
  </si>
  <si>
    <t>UM000023</t>
  </si>
  <si>
    <t>Punjenje za staplere</t>
  </si>
  <si>
    <t>UM000024</t>
  </si>
  <si>
    <t>Klips (dva paketa po šest komada) u abdominalnoj hirurgiji</t>
  </si>
  <si>
    <t>Стентови</t>
  </si>
  <si>
    <t>STT17001</t>
  </si>
  <si>
    <t xml:space="preserve">Koronarni stent izrađen od legure hroma (kobalt ili platina)sa debljinom žice (strut thickness) &lt; 0.0032 inch (debljina žice se odnosi na stent dijametra 3,0mm) - PRO-Kinetic Energy, Biotronik AG, Švajcarska  </t>
  </si>
  <si>
    <t>STT17003</t>
  </si>
  <si>
    <t xml:space="preserve">Koronarni stent izrađen od legure hroma (kobalt ili platina), sa abluminalnim biodegradabilnim polimerom, obložen imunosupresivnim lekom koji zaustavlja progresiju ćelijskog ciklusa inhibicijom m-TOR-a - Ultimaster Sirolimus, Terumo, Belgija </t>
  </si>
  <si>
    <t>STT17006</t>
  </si>
  <si>
    <t>Koronarni stent izrađen od legure hroma (kobalt ili platina), (hibridni dizajn), sa permanentnim polimerom, obložen imunosupresivnim lekom koji zaustavlja progresiju ćelijskog ciklusa inhibicijom m-TOR-a - XIENCE XPEDITION Everolimus, Abbott, SAD</t>
  </si>
  <si>
    <t>STT17007</t>
  </si>
  <si>
    <t>Koronarni stent izrađen od legure hroma (kobalt ili platina), (hibridni dizajn), sa permanentnim polimerom, obložen imunosupresivnim lekom koji zaustavlja progresiju ćelijskog ciklusa inhibicijom m-TOR-a - Promus PREMIER MONORAIL Everolimus, Boston, SAD</t>
  </si>
  <si>
    <t>STT17010</t>
  </si>
  <si>
    <t xml:space="preserve">Koronarni stent izrađen od legure hroma (kobalt ili platina) bez polimera, obložen imunosupresivnim lekom koji zaustavlja progresiju ćelijskog ciklusa inhibicijom m-TOR-a - Coroflex ISAR NEO, B. Braun, Nemačka     </t>
  </si>
  <si>
    <t>SM00005</t>
  </si>
  <si>
    <t>Аерационе цевчице</t>
  </si>
  <si>
    <t>MF000001</t>
  </si>
  <si>
    <t>Плочице са завртњима различитих профила (у МФХ хирургији и ОРЛ)</t>
  </si>
  <si>
    <t>Ортопедија (импланти)</t>
  </si>
  <si>
    <t xml:space="preserve">I -9. </t>
  </si>
  <si>
    <t>Имплантати у ортопедији (ендопротезе)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</si>
  <si>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</si>
  <si>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</si>
  <si>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</si>
  <si>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</si>
  <si>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</si>
  <si>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</si>
  <si>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</si>
  <si>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</si>
  <si>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OR000052</t>
  </si>
  <si>
    <t>Bescementna kapa</t>
  </si>
  <si>
    <t>OR000053</t>
  </si>
  <si>
    <t>Bescementni insert</t>
  </si>
  <si>
    <t>OR000054</t>
  </si>
  <si>
    <t>Koštani zavrtanj</t>
  </si>
  <si>
    <t>OR000055</t>
  </si>
  <si>
    <t>Distalni centralizer</t>
  </si>
  <si>
    <t>OR000056</t>
  </si>
  <si>
    <t>Bescementni femoralni stem</t>
  </si>
  <si>
    <t>OR000057</t>
  </si>
  <si>
    <t>Cementna acetabularna kapa</t>
  </si>
  <si>
    <t>OR000058</t>
  </si>
  <si>
    <t>Bipolarna kapa</t>
  </si>
  <si>
    <t xml:space="preserve">I-9.1  </t>
  </si>
  <si>
    <t xml:space="preserve"> Материјал за ендопротезу колена</t>
  </si>
  <si>
    <t>OR000060</t>
  </si>
  <si>
    <t>Femoralna komponenta</t>
  </si>
  <si>
    <t>OR000061</t>
  </si>
  <si>
    <t>Tibijalna komponenta</t>
  </si>
  <si>
    <t>OR000062</t>
  </si>
  <si>
    <t>Artikularna površina</t>
  </si>
  <si>
    <t xml:space="preserve">II. </t>
  </si>
  <si>
    <t>Остали уградни материјал у ортопедији</t>
  </si>
  <si>
    <t>OR000013</t>
  </si>
  <si>
    <t>KIRŠNER IGLA</t>
  </si>
  <si>
    <t>OR000016</t>
  </si>
  <si>
    <t>INTERLOKING ŠRAF</t>
  </si>
  <si>
    <t>OR000019</t>
  </si>
  <si>
    <t>SAMODINAMIZIRAJUĆI UNUTRAŠNJI FIKSATOR</t>
  </si>
  <si>
    <t>OR000020</t>
  </si>
  <si>
    <t>UGAONA PLOČA</t>
  </si>
  <si>
    <t>OR000022</t>
  </si>
  <si>
    <t>T PLOČA</t>
  </si>
  <si>
    <t>OR000025</t>
  </si>
  <si>
    <t>RAVNA PLOČA</t>
  </si>
  <si>
    <t>OR000026</t>
  </si>
  <si>
    <t>TUBULARNA PLOČA</t>
  </si>
  <si>
    <t>OR000028</t>
  </si>
  <si>
    <t>FIKSACIONI ŠRAF ZA PLOČU (ZAVRTANJ)</t>
  </si>
  <si>
    <t>OR000029</t>
  </si>
  <si>
    <t>ŽICA</t>
  </si>
  <si>
    <t>OR000030</t>
  </si>
  <si>
    <t>KOŠTANI ZAVRTNJI</t>
  </si>
  <si>
    <t>OR000031</t>
  </si>
  <si>
    <t>KLINOVI ZA FIKSACIJU KOSTIJU</t>
  </si>
  <si>
    <t>IS110002</t>
  </si>
  <si>
    <t xml:space="preserve">Intraokularno sočivo, PMMA/Biovision PMMA IOL, B60125S, BIO-TECH VISION CARE  (Intraokularna tvrda (PMMA) prednjekomorna </t>
  </si>
  <si>
    <t>IS140001</t>
  </si>
  <si>
    <t xml:space="preserve">Intraokularno sočivo, zadnjekomorno, PMMA/OMNI PMMA iol, CB132UV2, OMNI (Intraokularna tvrda (PMMA) zadnjekomorna </t>
  </si>
  <si>
    <t>IS140003</t>
  </si>
  <si>
    <t>IS140004</t>
  </si>
  <si>
    <t>IS140006</t>
  </si>
  <si>
    <t xml:space="preserve">Intraokularno sočivo, zadnjekomorno,akrilno/en Vista One-Picee Hydrophobic Acrylic Intraocular Lens (Intraokularna meka </t>
  </si>
  <si>
    <t>IS140007</t>
  </si>
  <si>
    <t xml:space="preserve">Intraokularno sočivo, akrilatno/Eyecryl Plus Foldable IOL Hydrophilic, 600, BIO-TECH VISION CARE  (Intraokularna meka </t>
  </si>
  <si>
    <t>IS150001</t>
  </si>
  <si>
    <t>IS150002</t>
  </si>
  <si>
    <t>Intraokularno sočivo, PMMA/Versyse IOL Aphakic, B60125S, OPHTEC B.V (Intraokularna tvrda (PMMA) sočiva za dužičnu fiksaciju)</t>
  </si>
  <si>
    <t>IS150003</t>
  </si>
  <si>
    <t>IS150004</t>
  </si>
  <si>
    <t xml:space="preserve">Intraokularno sočivo, zadnjekomorno, akrilno/LEDAphob Hydrophobic IOL, 2014/03-1 i T1845 03/2013, HANITA, Israel  </t>
  </si>
  <si>
    <t>IS150005</t>
  </si>
  <si>
    <t xml:space="preserve">Intraokularna tvrda (PMMA) zadnjekomorna sočiva (Intraokularno sočivo, PMMA/Biovision PMMA IOL, B60125C, BIO-TECH VISION </t>
  </si>
  <si>
    <t>IS160001</t>
  </si>
  <si>
    <t>IS180001</t>
  </si>
  <si>
    <t>Intraokularna meka zadnjekomorna sočiva izrađena od hidrofobnog akrilata, izlivena u komadu - AcrySof Single-Piece, Alcon Laboratories Incorporated, SAD</t>
  </si>
  <si>
    <t>Графтови</t>
  </si>
  <si>
    <t>GR000009</t>
  </si>
  <si>
    <t>Фогарти катетери</t>
  </si>
  <si>
    <t>GR000013</t>
  </si>
  <si>
    <t>PTFE графт за хемодијализу промера 5 и 6 мм</t>
  </si>
  <si>
    <t>UKUPNO:</t>
  </si>
  <si>
    <t>0030040</t>
  </si>
  <si>
    <t>L01CA02</t>
  </si>
  <si>
    <t>VINCRISTINE PFIZER</t>
  </si>
  <si>
    <t>rastvor za inj/inf</t>
  </si>
  <si>
    <t xml:space="preserve"> 5 po 1ml(1mg/ml)</t>
  </si>
  <si>
    <t>0030061</t>
  </si>
  <si>
    <t>Vinkristine</t>
  </si>
  <si>
    <t>inj</t>
  </si>
  <si>
    <t>1 po 10 ml (1 mg/ml</t>
  </si>
  <si>
    <t>0030092</t>
  </si>
  <si>
    <t>L01CA01</t>
  </si>
  <si>
    <t>Vinblastine</t>
  </si>
  <si>
    <t>1x10mg/5ml</t>
  </si>
  <si>
    <t>0030111</t>
  </si>
  <si>
    <t>L01CB01</t>
  </si>
  <si>
    <t>ETOPOSID "Ebewe"</t>
  </si>
  <si>
    <t>bočica staklena</t>
  </si>
  <si>
    <t>1 po 5 ml (100 mg/5 ml)</t>
  </si>
  <si>
    <t xml:space="preserve">0030121 </t>
  </si>
  <si>
    <t xml:space="preserve">L01CB01 </t>
  </si>
  <si>
    <t>Etoposide TEVA</t>
  </si>
  <si>
    <t>0030122</t>
  </si>
  <si>
    <t>SINTOPOZID</t>
  </si>
  <si>
    <t>0030230</t>
  </si>
  <si>
    <t>SINDOVIN</t>
  </si>
  <si>
    <t>prašak za rastvor za injekciju/infuziju</t>
  </si>
  <si>
    <t>1 po 1 mg</t>
  </si>
  <si>
    <t>0030241</t>
  </si>
  <si>
    <t>L01CA04</t>
  </si>
  <si>
    <t>Vinorelsin</t>
  </si>
  <si>
    <t>koncentrat za rastvor za inf</t>
  </si>
  <si>
    <t>1 po 1ml (10mg/1ml)</t>
  </si>
  <si>
    <t>0030242</t>
  </si>
  <si>
    <t>Vinorelebin</t>
  </si>
  <si>
    <t>bočica staklena, 1 po 5ml(50mg/5ml)</t>
  </si>
  <si>
    <t>0030243</t>
  </si>
  <si>
    <t>L01CA05</t>
  </si>
  <si>
    <t>bočica staklena, 1 po 1ml(10mg/15ml)</t>
  </si>
  <si>
    <t>0031051</t>
  </si>
  <si>
    <t>L01AA06</t>
  </si>
  <si>
    <t>HOLOXAN</t>
  </si>
  <si>
    <t>prašak za rastvor za injekciju</t>
  </si>
  <si>
    <t>bočica, 1 po 1 g</t>
  </si>
  <si>
    <t>0031223</t>
  </si>
  <si>
    <t>L01XA01</t>
  </si>
  <si>
    <t>SINPLATIN</t>
  </si>
  <si>
    <t>koncentrat za rastvor za infuziju</t>
  </si>
  <si>
    <t>1 po 10ml (10mg/10ml)</t>
  </si>
  <si>
    <t>0031224</t>
  </si>
  <si>
    <t>bočica staklena, 1 po 50 ml (50 mg/50 ml)</t>
  </si>
  <si>
    <t>0031251</t>
  </si>
  <si>
    <t>CISPLATIN PFIZER</t>
  </si>
  <si>
    <t>bočica plastična</t>
  </si>
  <si>
    <t>1 po 50 ml (1 mg/ml)</t>
  </si>
  <si>
    <t>0031304</t>
  </si>
  <si>
    <t>L01XA03</t>
  </si>
  <si>
    <t>Carboplatin</t>
  </si>
  <si>
    <t>bočica</t>
  </si>
  <si>
    <t>1 po 15ml (150mg/15ml)</t>
  </si>
  <si>
    <t>0031306</t>
  </si>
  <si>
    <t>L01XA02</t>
  </si>
  <si>
    <t>CARBOPLASIN</t>
  </si>
  <si>
    <t>bočica staklena,</t>
  </si>
  <si>
    <t>1 po 15 ml (10 mg/ml)</t>
  </si>
  <si>
    <t>0031307</t>
  </si>
  <si>
    <t>1 po 45ml (10mg/1ml)</t>
  </si>
  <si>
    <t>0031332</t>
  </si>
  <si>
    <t>CISPLATIN "Ebewe"</t>
  </si>
  <si>
    <t>rastvor za infuziju</t>
  </si>
  <si>
    <t>1 po 50 mg/100 ml</t>
  </si>
  <si>
    <t>0031361</t>
  </si>
  <si>
    <t>SINOXAL ◊</t>
  </si>
  <si>
    <t>bočica,</t>
  </si>
  <si>
    <t>1 po 100 mg</t>
  </si>
  <si>
    <t>0031364</t>
  </si>
  <si>
    <t>OXALIPLATIN-PLIVA</t>
  </si>
  <si>
    <t>bočica, 1 po 10 ml (5 mg/ml)</t>
  </si>
  <si>
    <t>0031365</t>
  </si>
  <si>
    <t>1 po 20 ml (5 mg/ml)</t>
  </si>
  <si>
    <t>0031367</t>
  </si>
  <si>
    <t>1 po 10 ml (50 mg/10 ml)</t>
  </si>
  <si>
    <t>0031368</t>
  </si>
  <si>
    <t>1 po 20 ml (100 mg/20 ml)</t>
  </si>
  <si>
    <t>0031500</t>
  </si>
  <si>
    <t>L01AA01</t>
  </si>
  <si>
    <t>Endoxan</t>
  </si>
  <si>
    <t>prah za inj</t>
  </si>
  <si>
    <t>1X500mg</t>
  </si>
  <si>
    <t>0033051</t>
  </si>
  <si>
    <t>L01DB01</t>
  </si>
  <si>
    <t>SINDROXOCIN</t>
  </si>
  <si>
    <t>1 po 50 mg</t>
  </si>
  <si>
    <t>0033113</t>
  </si>
  <si>
    <t>L01DB03</t>
  </si>
  <si>
    <t>FARMORUBICIN R.D.</t>
  </si>
  <si>
    <t>1 po 50 mg sa rastv.</t>
  </si>
  <si>
    <t>0033130</t>
  </si>
  <si>
    <t>EPISINDAN</t>
  </si>
  <si>
    <t>1 po 10 mg</t>
  </si>
  <si>
    <t>0033131</t>
  </si>
  <si>
    <t>liofilizat za rastvor za infuziju</t>
  </si>
  <si>
    <t>bočica, 1 po 50 mg</t>
  </si>
  <si>
    <t>0033171</t>
  </si>
  <si>
    <t>DOXORUBICIN - TEVA</t>
  </si>
  <si>
    <t>0033190</t>
  </si>
  <si>
    <t>DOXORUBICIN "Ebewe"</t>
  </si>
  <si>
    <t>1 po 5 ml (10 mg/5 ml)</t>
  </si>
  <si>
    <t>0033191</t>
  </si>
  <si>
    <t>1 po 25 ml (50 mg/25 ml)</t>
  </si>
  <si>
    <t>0033220</t>
  </si>
  <si>
    <t>L01DC01</t>
  </si>
  <si>
    <t>Bleocin S</t>
  </si>
  <si>
    <t>1x15000ij</t>
  </si>
  <si>
    <t>0034019</t>
  </si>
  <si>
    <t>L01BB05</t>
  </si>
  <si>
    <t>FLUDARABIN EBEWE ◊</t>
  </si>
  <si>
    <t xml:space="preserve">0034023 </t>
  </si>
  <si>
    <t>L01BC02</t>
  </si>
  <si>
    <t>Fluorouracil â 250 mg.</t>
  </si>
  <si>
    <t>1 po 5 ml (50mg/1ml)</t>
  </si>
  <si>
    <t>0034024</t>
  </si>
  <si>
    <t>FLUOROURACIL - TEVA</t>
  </si>
  <si>
    <t>1 po 10 ml (50 mg/ml)</t>
  </si>
  <si>
    <t>0034151</t>
  </si>
  <si>
    <t>L01BA01</t>
  </si>
  <si>
    <t>METOJECT</t>
  </si>
  <si>
    <t>rastvor za injekciju</t>
  </si>
  <si>
    <t>napunjen injekcioni špric, 1 po 1,5 ml, 15 mg/1,5 ml</t>
  </si>
  <si>
    <t>0034166</t>
  </si>
  <si>
    <t>FLUOROURACIL</t>
  </si>
  <si>
    <t>bočica, 1 po 100 ml (50 mg/ml)</t>
  </si>
  <si>
    <t>0034180</t>
  </si>
  <si>
    <t>Methotrexat</t>
  </si>
  <si>
    <t>5 po 50 mg/2 ml</t>
  </si>
  <si>
    <t>0034210</t>
  </si>
  <si>
    <t>L01BC05</t>
  </si>
  <si>
    <t>Gemzar</t>
  </si>
  <si>
    <t>1x200 mg</t>
  </si>
  <si>
    <t>0034211</t>
  </si>
  <si>
    <t>1x1g</t>
  </si>
  <si>
    <t>0034329</t>
  </si>
  <si>
    <t>5-FLUOROURACIL "Ebewe"</t>
  </si>
  <si>
    <t>1 po 100 ml (5000mg/100ml)</t>
  </si>
  <si>
    <t>0034351</t>
  </si>
  <si>
    <t>L01BC01</t>
  </si>
  <si>
    <t>ALEXAN Ebewe</t>
  </si>
  <si>
    <t>rastvor za injekciju / infuziju</t>
  </si>
  <si>
    <t>bočica staklena,1 po 500 mg/10 ml</t>
  </si>
  <si>
    <t>0034425</t>
  </si>
  <si>
    <t>GEMCITABIN EBEWE ◊</t>
  </si>
  <si>
    <t>1 po 1000 mg/100 ml</t>
  </si>
  <si>
    <t>0034431</t>
  </si>
  <si>
    <t>staklena bočica</t>
  </si>
  <si>
    <t>1 po 25 ml (40mg/ml)</t>
  </si>
  <si>
    <t>0034432</t>
  </si>
  <si>
    <t xml:space="preserve">GEMCITABIN EBEWE ◊ </t>
  </si>
  <si>
    <t>koncentrat za rastvor za infuziju , staklena bočica</t>
  </si>
  <si>
    <t>1 po 5ml (40mg/ml)</t>
  </si>
  <si>
    <t>0034550</t>
  </si>
  <si>
    <t>GEMNIL ◊</t>
  </si>
  <si>
    <t>1 po 1000 mg</t>
  </si>
  <si>
    <t>0034551</t>
  </si>
  <si>
    <t>GEMNIL 1 po 200 mg</t>
  </si>
  <si>
    <t>,bočica staklena</t>
  </si>
  <si>
    <t>1 po 200 mg</t>
  </si>
  <si>
    <t>0034800</t>
  </si>
  <si>
    <t>FLUDARABINE PLIVA ◊</t>
  </si>
  <si>
    <t>1 po 2 ml (25 mg/ml)</t>
  </si>
  <si>
    <t>0037021</t>
  </si>
  <si>
    <t>L02AE02</t>
  </si>
  <si>
    <t>Lupron</t>
  </si>
  <si>
    <t>napunjen injekcioni špric, 1 po 1 ml (3,75 mg/ml)</t>
  </si>
  <si>
    <t>0037070</t>
  </si>
  <si>
    <t>L02AE03</t>
  </si>
  <si>
    <t>Zoladex</t>
  </si>
  <si>
    <t>1x3,6mg</t>
  </si>
  <si>
    <t>0037071</t>
  </si>
  <si>
    <t>1x10,8mg</t>
  </si>
  <si>
    <t>0037091</t>
  </si>
  <si>
    <t>L02AE04</t>
  </si>
  <si>
    <t>Diphereline</t>
  </si>
  <si>
    <t>1x3,75mg/2ml</t>
  </si>
  <si>
    <t>0037092</t>
  </si>
  <si>
    <t>Diphereline  7x</t>
  </si>
  <si>
    <t>1x11,25mg/2ml</t>
  </si>
  <si>
    <t>0039020</t>
  </si>
  <si>
    <t>L01CD01</t>
  </si>
  <si>
    <t>SINDAXEL ◊</t>
  </si>
  <si>
    <t>1 po 5 ml ( 30 mg/ 5 ml)</t>
  </si>
  <si>
    <t>0039021</t>
  </si>
  <si>
    <t>konc.rastvor za infuziju</t>
  </si>
  <si>
    <t>1 po 16,67 ml (100 mg/16,67 ml)</t>
  </si>
  <si>
    <t>0039031</t>
  </si>
  <si>
    <t>L01AX04</t>
  </si>
  <si>
    <t>DAKARBAZIN</t>
  </si>
  <si>
    <t>prašak za rastvor za infuziju</t>
  </si>
  <si>
    <t>bočica, 1 po 500 mg</t>
  </si>
  <si>
    <t>0039033</t>
  </si>
  <si>
    <t>10 po 200mg</t>
  </si>
  <si>
    <t>0039294</t>
  </si>
  <si>
    <t>L01XX19</t>
  </si>
  <si>
    <t>IRINOTESIN </t>
  </si>
  <si>
    <t>bočica staklena, 1 po 5 ml (100 mg/5 ml)</t>
  </si>
  <si>
    <t>0039314</t>
  </si>
  <si>
    <t>VIARITEC</t>
  </si>
  <si>
    <t>0039350</t>
  </si>
  <si>
    <t>PACLITAXEL Ebewe</t>
  </si>
  <si>
    <t>bočica staklena, 1 po 5 ml (30 mg/5 ml)</t>
  </si>
  <si>
    <t>0039351</t>
  </si>
  <si>
    <t>bočica staklena, 1 po 100 mg/16,7 ml</t>
  </si>
  <si>
    <t>0039501</t>
  </si>
  <si>
    <t>Paclitaxel Teva</t>
  </si>
  <si>
    <t>bočica,1 po 16,7 ml (100 mg/16,7 ml)</t>
  </si>
  <si>
    <t>0039727</t>
  </si>
  <si>
    <t>L01CD02</t>
  </si>
  <si>
    <t>DOCETAXEL</t>
  </si>
  <si>
    <t>bočica staklena, 1 po 1 ml (20 mg/1 ml)</t>
  </si>
  <si>
    <t>0039728</t>
  </si>
  <si>
    <t>bočica staklena, 1 po 4 ml (80 mg/4 ml)</t>
  </si>
  <si>
    <t>0184027</t>
  </si>
  <si>
    <t>V03AF04</t>
  </si>
  <si>
    <t>Leucovorin Kalcijum</t>
  </si>
  <si>
    <t>ampula, 10 po 50 mg/5 ml</t>
  </si>
  <si>
    <t>1034343</t>
  </si>
  <si>
    <t>L01BC06</t>
  </si>
  <si>
    <t>CAPECITABINE PHARMASWISS</t>
  </si>
  <si>
    <t>120 po 500 mg</t>
  </si>
  <si>
    <t>1034442</t>
  </si>
  <si>
    <t>KAPETRAL◊</t>
  </si>
  <si>
    <t>blister,</t>
  </si>
  <si>
    <t>XALVOBIN</t>
  </si>
  <si>
    <t>film tableta</t>
  </si>
  <si>
    <t>blister, 120 po 500 mg</t>
  </si>
  <si>
    <t>L01XE01</t>
  </si>
  <si>
    <t>ALVOTINIB</t>
  </si>
  <si>
    <t>blister</t>
  </si>
  <si>
    <t>120 po 100 mg</t>
  </si>
  <si>
    <t>30 po 400 mg</t>
  </si>
  <si>
    <t>N001446</t>
  </si>
  <si>
    <t>L01AD01</t>
  </si>
  <si>
    <t>Carmustin</t>
  </si>
  <si>
    <t>100 mg</t>
  </si>
  <si>
    <t>N002527</t>
  </si>
  <si>
    <t>L01DC03</t>
  </si>
  <si>
    <t>Mitomicin</t>
  </si>
  <si>
    <t>prašak za injekciju</t>
  </si>
  <si>
    <t>N002972</t>
  </si>
  <si>
    <t>dakarbazin</t>
  </si>
  <si>
    <t>prašak za inj</t>
  </si>
  <si>
    <t>200 mg</t>
  </si>
  <si>
    <t>N003608</t>
  </si>
  <si>
    <t>L03AX03</t>
  </si>
  <si>
    <t>Оncotice</t>
  </si>
  <si>
    <t>prašak za intravezikalni rastvor</t>
  </si>
  <si>
    <t>N003848</t>
  </si>
  <si>
    <t>VINBLASTINE Teva</t>
  </si>
  <si>
    <t>prašak i rastvarač za rastvor za injekciju</t>
  </si>
  <si>
    <t>ЦИТОСТАТИЦИ СА Ц ЛИСТЕ</t>
  </si>
  <si>
    <t>0059010</t>
  </si>
  <si>
    <t>M05BA08</t>
  </si>
  <si>
    <t>ZITOMERA</t>
  </si>
  <si>
    <t>1 po 5 ml (4mg/5ml)</t>
  </si>
  <si>
    <t>0059200</t>
  </si>
  <si>
    <t>ZOLEDRONAT Alvogen</t>
  </si>
  <si>
    <t>1 po 5ml (4mg/5ml)</t>
  </si>
  <si>
    <t>0069145</t>
  </si>
  <si>
    <t>B03XA01</t>
  </si>
  <si>
    <t>BINOCRIT</t>
  </si>
  <si>
    <t>6 po 1ml (2000ij/1ml)</t>
  </si>
  <si>
    <t>0069152</t>
  </si>
  <si>
    <t>EPREX</t>
  </si>
  <si>
    <t>rastvor za injekciju, špric</t>
  </si>
  <si>
    <t xml:space="preserve">2000 i.j. </t>
  </si>
  <si>
    <t>0069939</t>
  </si>
  <si>
    <t>B03XA02</t>
  </si>
  <si>
    <t>ARANESP</t>
  </si>
  <si>
    <t>10 mcg</t>
  </si>
  <si>
    <t>0069227</t>
  </si>
  <si>
    <t>EQRALYS</t>
  </si>
  <si>
    <t>0069165</t>
  </si>
  <si>
    <t>RECORMON</t>
  </si>
  <si>
    <t>2000 i.j.</t>
  </si>
  <si>
    <t>0069206</t>
  </si>
  <si>
    <t>B03XA03</t>
  </si>
  <si>
    <t>MIRCERA</t>
  </si>
  <si>
    <t>50 mcg</t>
  </si>
  <si>
    <t>0069205</t>
  </si>
  <si>
    <t>75 mcg</t>
  </si>
  <si>
    <t>0069924</t>
  </si>
  <si>
    <t>napunjen inj.špric, 1 po 0,5 ml (20 mcg/0,5 ml)</t>
  </si>
  <si>
    <t>0069928</t>
  </si>
  <si>
    <t>napunjen inj.špric 1 po 0,3 ml (30 mcg/0,3 ml)</t>
  </si>
  <si>
    <t>0059222</t>
  </si>
  <si>
    <t>ZOLEDRONATE PHARMASWISS</t>
  </si>
  <si>
    <t>bočica staklena, 1 po 5 ml (4 mg/5 ml)</t>
  </si>
  <si>
    <t>napunjen injekcioni špric</t>
  </si>
  <si>
    <t>1 po 0,4 ml (10 mcg/0,4 ml)</t>
  </si>
  <si>
    <t xml:space="preserve">0066012 </t>
  </si>
  <si>
    <t>B02BD02</t>
  </si>
  <si>
    <t>Octanate 500</t>
  </si>
  <si>
    <t xml:space="preserve">injekcija </t>
  </si>
  <si>
    <t>1 po 500 i.j/10 ml</t>
  </si>
  <si>
    <t>0066212</t>
  </si>
  <si>
    <t>B02BD06</t>
  </si>
  <si>
    <t>IMMUNATE</t>
  </si>
  <si>
    <t>bočica sa praškom i bočica sa rastvaračem</t>
  </si>
  <si>
    <t>1 po 5 ml (500 i.j./5 ml + 375 i.j./5 ml)</t>
  </si>
  <si>
    <t>0066631</t>
  </si>
  <si>
    <t>Haemoctin</t>
  </si>
  <si>
    <t>0066611</t>
  </si>
  <si>
    <t>BERIATE P</t>
  </si>
  <si>
    <t>1 po 500 i.j. sa rastv.</t>
  </si>
  <si>
    <t>0066501</t>
  </si>
  <si>
    <t>B02BD04</t>
  </si>
  <si>
    <t>HAEMONINE 500</t>
  </si>
  <si>
    <t>bočica sa praškom i bočica sa rastvaračem,</t>
  </si>
  <si>
    <t xml:space="preserve"> 1 po 5 ml (100 i.j./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</si>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</sst>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)@"/>
    <numFmt numFmtId="166" formatCode="0;0;;@"/>
    <numFmt numFmtId="167" formatCode="#,##0.0"/>
  </numFmts>
  <fonts count="137">
    <font>
      <sz val="10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0"/>
      <name val="HelveticaPlain"/>
    </font>
    <font>
      <b/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2"/>
      <name val="Arial Black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Cambria"/>
      <family val="1"/>
      <charset val="238"/>
    </font>
    <font>
      <b/>
      <sz val="8"/>
      <name val="Times New Roman"/>
      <family val="1"/>
      <charset val="238"/>
    </font>
    <font>
      <b/>
      <sz val="9"/>
      <name val="Cambria"/>
      <family val="1"/>
      <charset val="238"/>
    </font>
    <font>
      <sz val="11"/>
      <name val="Times New Roman"/>
      <family val="1"/>
      <charset val="238"/>
    </font>
    <font>
      <b/>
      <sz val="8"/>
      <name val="Cambria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sz val="8"/>
      <name val="Cambria"/>
      <family val="1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sz val="10"/>
      <color rgb="FFFF0000"/>
      <name val="Times New Roman"/>
      <family val="1"/>
      <charset val="238"/>
    </font>
    <font>
      <b/>
      <sz val="9"/>
      <color indexed="57"/>
      <name val="Arial"/>
      <family val="2"/>
    </font>
    <font>
      <sz val="11"/>
      <name val="Arial Black"/>
      <family val="2"/>
    </font>
    <font>
      <sz val="8"/>
      <name val="Arial Black"/>
      <family val="2"/>
      <charset val="238"/>
    </font>
    <font>
      <i/>
      <sz val="10"/>
      <color indexed="8"/>
      <name val="Times New Roman"/>
      <family val="1"/>
    </font>
    <font>
      <b/>
      <sz val="10"/>
      <name val="Cambria"/>
      <family val="1"/>
    </font>
    <font>
      <sz val="11"/>
      <color theme="1"/>
      <name val="Arial"/>
      <family val="2"/>
    </font>
    <font>
      <b/>
      <sz val="8"/>
      <name val="Arial Black"/>
      <family val="2"/>
    </font>
    <font>
      <i/>
      <sz val="10"/>
      <name val="Times New Roman"/>
      <family val="1"/>
    </font>
    <font>
      <sz val="10"/>
      <color theme="1"/>
      <name val="Arial"/>
      <family val="2"/>
    </font>
    <font>
      <sz val="10"/>
      <name val="Arial Black"/>
      <family val="2"/>
    </font>
    <font>
      <b/>
      <i/>
      <sz val="12"/>
      <name val="Times New Roman"/>
      <family val="1"/>
    </font>
    <font>
      <i/>
      <sz val="10"/>
      <name val="Times New Roman"/>
      <family val="1"/>
      <charset val="238"/>
    </font>
    <font>
      <sz val="9"/>
      <name val="Times New Roman"/>
      <family val="1"/>
    </font>
    <font>
      <sz val="12"/>
      <name val="Arial Black"/>
      <family val="2"/>
    </font>
    <font>
      <b/>
      <sz val="11"/>
      <name val="Calibri"/>
      <family val="2"/>
      <scheme val="minor"/>
    </font>
    <font>
      <sz val="8"/>
      <name val="Arial Black"/>
      <family val="2"/>
    </font>
    <font>
      <sz val="10"/>
      <color indexed="8"/>
      <name val="Times New Roman"/>
      <family val="1"/>
      <charset val="238"/>
    </font>
    <font>
      <sz val="11"/>
      <name val="Cambria"/>
      <family val="1"/>
    </font>
    <font>
      <b/>
      <sz val="10"/>
      <color indexed="8"/>
      <name val="Times New Roman"/>
      <family val="1"/>
      <charset val="238"/>
    </font>
    <font>
      <sz val="8"/>
      <name val="Calibri"/>
      <family val="2"/>
      <scheme val="minor"/>
    </font>
    <font>
      <i/>
      <sz val="8"/>
      <name val="Times New Roman"/>
      <family val="1"/>
      <charset val="238"/>
    </font>
    <font>
      <sz val="8"/>
      <name val="Calibri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10"/>
      <color indexed="8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.5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Cambria"/>
      <family val="1"/>
    </font>
    <font>
      <b/>
      <sz val="11"/>
      <name val="Arial Black"/>
      <family val="2"/>
    </font>
    <font>
      <sz val="10"/>
      <color rgb="FFFF0000"/>
      <name val="Times New Roman"/>
      <family val="1"/>
    </font>
    <font>
      <sz val="10.5"/>
      <name val="Times New Roman"/>
      <family val="1"/>
      <charset val="238"/>
    </font>
    <font>
      <b/>
      <sz val="10"/>
      <color indexed="8"/>
      <name val="Times New Roman"/>
      <family val="1"/>
    </font>
    <font>
      <sz val="9"/>
      <name val="Arial Black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Arial Black"/>
      <family val="2"/>
    </font>
    <font>
      <sz val="11"/>
      <color rgb="FF000000"/>
      <name val="Calibri"/>
      <family val="2"/>
      <scheme val="minor"/>
    </font>
    <font>
      <b/>
      <sz val="10"/>
      <name val="Arial Black"/>
      <family val="2"/>
    </font>
    <font>
      <b/>
      <sz val="9"/>
      <name val="Arial Black"/>
      <family val="2"/>
    </font>
    <font>
      <b/>
      <sz val="12"/>
      <color indexed="57"/>
      <name val="Arial Black"/>
      <family val="2"/>
      <charset val="238"/>
    </font>
    <font>
      <b/>
      <sz val="12"/>
      <name val="Arial Black"/>
      <family val="2"/>
      <charset val="238"/>
    </font>
    <font>
      <sz val="10"/>
      <color indexed="8"/>
      <name val="Arial Black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1"/>
      <name val="Arial Black"/>
      <family val="2"/>
      <charset val="238"/>
    </font>
    <font>
      <b/>
      <sz val="10"/>
      <color indexed="8"/>
      <name val="Cambria"/>
      <family val="1"/>
    </font>
    <font>
      <b/>
      <sz val="11"/>
      <color indexed="8"/>
      <name val="Cambria"/>
      <family val="1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64"/>
      <name val="Arial"/>
      <family val="2"/>
    </font>
    <font>
      <sz val="8"/>
      <color indexed="64"/>
      <name val="Arial"/>
      <family val="2"/>
    </font>
    <font>
      <sz val="10"/>
      <name val="Calibri"/>
      <family val="2"/>
      <charset val="238"/>
    </font>
    <font>
      <sz val="10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4"/>
      </left>
      <right/>
      <top/>
      <bottom/>
      <diagonal/>
    </border>
    <border>
      <left style="thin">
        <color indexed="44"/>
      </left>
      <right/>
      <top style="thin">
        <color indexed="44"/>
      </top>
      <bottom style="thin">
        <color indexed="64"/>
      </bottom>
      <diagonal/>
    </border>
    <border>
      <left/>
      <right/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6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5" fillId="0" borderId="0">
      <alignment horizontal="left" vertical="center" indent="1"/>
    </xf>
    <xf numFmtId="0" fontId="9" fillId="0" borderId="0"/>
    <xf numFmtId="0" fontId="30" fillId="0" borderId="0"/>
    <xf numFmtId="0" fontId="41" fillId="0" borderId="0"/>
    <xf numFmtId="0" fontId="9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42" fillId="8" borderId="39">
      <alignment vertical="center"/>
    </xf>
    <xf numFmtId="0" fontId="43" fillId="0" borderId="39">
      <alignment horizontal="left" vertical="center" wrapText="1"/>
      <protection locked="0"/>
    </xf>
    <xf numFmtId="0" fontId="44" fillId="0" borderId="40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30" fillId="0" borderId="0"/>
    <xf numFmtId="0" fontId="57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56" fillId="0" borderId="0"/>
    <xf numFmtId="0" fontId="30" fillId="0" borderId="0"/>
  </cellStyleXfs>
  <cellXfs count="23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2" fillId="0" borderId="0" xfId="2" applyFont="1" applyProtection="1"/>
    <xf numFmtId="0" fontId="12" fillId="0" borderId="0" xfId="2" applyFont="1" applyAlignment="1" applyProtection="1">
      <alignment horizontal="center" vertical="center" wrapText="1"/>
    </xf>
    <xf numFmtId="0" fontId="2" fillId="0" borderId="0" xfId="2" applyFont="1" applyProtection="1"/>
    <xf numFmtId="3" fontId="12" fillId="0" borderId="0" xfId="2" applyNumberFormat="1" applyFont="1" applyAlignment="1" applyProtection="1">
      <alignment horizontal="center" vertical="center" wrapText="1"/>
    </xf>
    <xf numFmtId="0" fontId="12" fillId="0" borderId="0" xfId="2" applyFont="1" applyAlignment="1" applyProtection="1">
      <alignment horizontal="left" wrapText="1"/>
    </xf>
    <xf numFmtId="0" fontId="12" fillId="0" borderId="0" xfId="2" applyFont="1" applyAlignment="1" applyProtection="1">
      <alignment wrapText="1"/>
    </xf>
    <xf numFmtId="0" fontId="12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 wrapText="1"/>
    </xf>
    <xf numFmtId="0" fontId="2" fillId="0" borderId="0" xfId="2" applyFont="1" applyAlignment="1" applyProtection="1">
      <alignment wrapText="1"/>
    </xf>
    <xf numFmtId="0" fontId="12" fillId="0" borderId="0" xfId="2" applyFont="1" applyFill="1" applyProtection="1"/>
    <xf numFmtId="0" fontId="1" fillId="0" borderId="0" xfId="0" applyFont="1"/>
    <xf numFmtId="0" fontId="1" fillId="0" borderId="0" xfId="0" applyFont="1" applyBorder="1"/>
    <xf numFmtId="0" fontId="2" fillId="0" borderId="0" xfId="2" applyFont="1" applyFill="1" applyProtection="1"/>
    <xf numFmtId="0" fontId="1" fillId="0" borderId="0" xfId="0" applyFont="1" applyBorder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" xfId="0" applyFont="1" applyFill="1" applyBorder="1"/>
    <xf numFmtId="0" fontId="8" fillId="0" borderId="0" xfId="2" applyFo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 vertical="center" wrapText="1"/>
    </xf>
    <xf numFmtId="0" fontId="11" fillId="0" borderId="0" xfId="2" applyFont="1" applyProtection="1"/>
    <xf numFmtId="0" fontId="12" fillId="0" borderId="0" xfId="2" applyFont="1" applyAlignment="1" applyProtection="1"/>
    <xf numFmtId="0" fontId="2" fillId="0" borderId="0" xfId="7" applyFont="1" applyProtection="1"/>
    <xf numFmtId="0" fontId="18" fillId="0" borderId="0" xfId="0" applyFont="1" applyBorder="1"/>
    <xf numFmtId="0" fontId="0" fillId="0" borderId="0" xfId="0" applyBorder="1"/>
    <xf numFmtId="0" fontId="44" fillId="0" borderId="40" xfId="12"/>
    <xf numFmtId="0" fontId="44" fillId="0" borderId="40" xfId="12" applyAlignment="1">
      <alignment vertical="center" wrapText="1"/>
    </xf>
    <xf numFmtId="0" fontId="12" fillId="0" borderId="0" xfId="2" applyFont="1" applyFill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2" applyFont="1" applyAlignment="1" applyProtection="1">
      <alignment horizontal="center"/>
    </xf>
    <xf numFmtId="49" fontId="9" fillId="0" borderId="0" xfId="2" applyNumberFormat="1" applyFont="1" applyFill="1" applyProtection="1"/>
    <xf numFmtId="0" fontId="9" fillId="0" borderId="0" xfId="2" applyFont="1" applyAlignment="1" applyProtection="1">
      <alignment horizontal="left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Fill="1" applyBorder="1" applyProtection="1">
      <protection locked="0"/>
    </xf>
    <xf numFmtId="3" fontId="2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wrapText="1"/>
    </xf>
    <xf numFmtId="0" fontId="2" fillId="0" borderId="0" xfId="2" applyFont="1" applyBorder="1" applyAlignment="1" applyProtection="1">
      <alignment horizont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textRotation="90" wrapText="1"/>
    </xf>
    <xf numFmtId="0" fontId="24" fillId="0" borderId="0" xfId="2" applyFont="1" applyFill="1" applyBorder="1" applyAlignment="1" applyProtection="1">
      <alignment horizontal="left" wrapText="1"/>
    </xf>
    <xf numFmtId="0" fontId="24" fillId="0" borderId="0" xfId="2" applyFont="1" applyFill="1" applyBorder="1" applyAlignment="1" applyProtection="1">
      <alignment horizontal="left"/>
    </xf>
    <xf numFmtId="0" fontId="22" fillId="0" borderId="1" xfId="2" applyFont="1" applyBorder="1" applyAlignment="1" applyProtection="1">
      <alignment horizontal="center" vertical="center" wrapText="1"/>
      <protection locked="0"/>
    </xf>
    <xf numFmtId="3" fontId="22" fillId="4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2" fillId="0" borderId="0" xfId="2" applyFont="1" applyProtection="1"/>
    <xf numFmtId="0" fontId="22" fillId="4" borderId="1" xfId="0" applyFont="1" applyFill="1" applyBorder="1" applyAlignment="1" applyProtection="1">
      <alignment horizontal="center" vertical="center" wrapText="1"/>
    </xf>
    <xf numFmtId="3" fontId="22" fillId="4" borderId="1" xfId="0" applyNumberFormat="1" applyFont="1" applyFill="1" applyBorder="1" applyAlignment="1" applyProtection="1">
      <alignment horizontal="center" vertical="center" wrapText="1"/>
    </xf>
    <xf numFmtId="3" fontId="22" fillId="0" borderId="1" xfId="2" applyNumberFormat="1" applyFont="1" applyFill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vertical="center" wrapText="1"/>
    </xf>
    <xf numFmtId="0" fontId="22" fillId="0" borderId="0" xfId="2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center"/>
      <protection locked="0"/>
    </xf>
    <xf numFmtId="0" fontId="9" fillId="0" borderId="0" xfId="2" applyFont="1" applyProtection="1"/>
    <xf numFmtId="0" fontId="9" fillId="0" borderId="0" xfId="9" applyFont="1" applyAlignment="1" applyProtection="1">
      <alignment horizontal="right"/>
    </xf>
    <xf numFmtId="0" fontId="22" fillId="0" borderId="1" xfId="2" applyFont="1" applyBorder="1" applyAlignment="1" applyProtection="1">
      <alignment vertical="center" wrapText="1"/>
    </xf>
    <xf numFmtId="0" fontId="22" fillId="0" borderId="1" xfId="8" applyFont="1" applyFill="1" applyBorder="1" applyAlignment="1" applyProtection="1">
      <alignment horizontal="right"/>
      <protection locked="0"/>
    </xf>
    <xf numFmtId="0" fontId="22" fillId="0" borderId="1" xfId="8" applyFont="1" applyBorder="1" applyProtection="1">
      <protection locked="0"/>
    </xf>
    <xf numFmtId="0" fontId="22" fillId="0" borderId="1" xfId="8" applyFont="1" applyBorder="1" applyAlignment="1" applyProtection="1">
      <alignment wrapText="1"/>
      <protection locked="0"/>
    </xf>
    <xf numFmtId="0" fontId="25" fillId="3" borderId="1" xfId="8" applyFont="1" applyFill="1" applyBorder="1" applyAlignment="1" applyProtection="1">
      <alignment horizontal="right"/>
    </xf>
    <xf numFmtId="3" fontId="44" fillId="0" borderId="40" xfId="12" applyNumberForma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24" fillId="0" borderId="0" xfId="2" applyFont="1" applyFill="1" applyBorder="1" applyAlignment="1" applyProtection="1">
      <alignment wrapText="1"/>
    </xf>
    <xf numFmtId="0" fontId="26" fillId="0" borderId="0" xfId="0" applyFont="1" applyFill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/>
    <xf numFmtId="49" fontId="30" fillId="0" borderId="1" xfId="4" applyNumberFormat="1" applyFont="1" applyBorder="1" applyAlignment="1"/>
    <xf numFmtId="165" fontId="36" fillId="6" borderId="30" xfId="10" applyNumberFormat="1" applyFont="1" applyFill="1" applyBorder="1" applyProtection="1">
      <alignment vertical="center"/>
    </xf>
    <xf numFmtId="165" fontId="36" fillId="6" borderId="30" xfId="10" applyNumberFormat="1" applyFont="1" applyFill="1" applyBorder="1" applyAlignment="1" applyProtection="1">
      <alignment horizontal="right" vertical="center"/>
    </xf>
    <xf numFmtId="166" fontId="38" fillId="0" borderId="31" xfId="11" applyNumberFormat="1" applyFont="1" applyBorder="1" applyAlignment="1" applyProtection="1">
      <alignment horizontal="left" vertical="center"/>
    </xf>
    <xf numFmtId="166" fontId="38" fillId="0" borderId="32" xfId="11" applyNumberFormat="1" applyFont="1" applyBorder="1" applyAlignment="1" applyProtection="1">
      <alignment horizontal="left" vertical="center"/>
    </xf>
    <xf numFmtId="166" fontId="38" fillId="0" borderId="33" xfId="11" applyNumberFormat="1" applyFont="1" applyBorder="1" applyAlignment="1" applyProtection="1">
      <alignment horizontal="left" vertical="center"/>
    </xf>
    <xf numFmtId="165" fontId="36" fillId="6" borderId="31" xfId="10" applyNumberFormat="1" applyFont="1" applyFill="1" applyBorder="1" applyProtection="1">
      <alignment vertical="center"/>
    </xf>
    <xf numFmtId="165" fontId="36" fillId="6" borderId="33" xfId="10" applyNumberFormat="1" applyFont="1" applyFill="1" applyBorder="1" applyAlignment="1" applyProtection="1">
      <alignment horizontal="right" vertical="center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horizontal="left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1" xfId="0" applyFont="1" applyFill="1" applyBorder="1"/>
    <xf numFmtId="0" fontId="33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4" fillId="6" borderId="1" xfId="0" applyFont="1" applyFill="1" applyBorder="1" applyAlignment="1" applyProtection="1">
      <alignment horizontal="center" vertical="center" textRotation="90" wrapText="1"/>
    </xf>
    <xf numFmtId="3" fontId="24" fillId="2" borderId="1" xfId="0" applyNumberFormat="1" applyFont="1" applyFill="1" applyBorder="1" applyAlignment="1" applyProtection="1">
      <alignment horizontal="center" vertical="center" textRotation="90" wrapText="1"/>
    </xf>
    <xf numFmtId="3" fontId="24" fillId="2" borderId="1" xfId="2" applyNumberFormat="1" applyFont="1" applyFill="1" applyBorder="1" applyAlignment="1" applyProtection="1">
      <alignment horizontal="center" vertical="center" textRotation="90" wrapText="1"/>
    </xf>
    <xf numFmtId="0" fontId="22" fillId="0" borderId="1" xfId="2" applyFont="1" applyBorder="1" applyProtection="1">
      <protection locked="0"/>
    </xf>
    <xf numFmtId="0" fontId="22" fillId="4" borderId="1" xfId="8" applyFont="1" applyFill="1" applyBorder="1" applyAlignment="1" applyProtection="1">
      <alignment horizontal="right"/>
    </xf>
    <xf numFmtId="0" fontId="22" fillId="0" borderId="1" xfId="7" applyFont="1" applyBorder="1" applyProtection="1">
      <protection locked="0"/>
    </xf>
    <xf numFmtId="0" fontId="25" fillId="3" borderId="1" xfId="7" applyFont="1" applyFill="1" applyBorder="1" applyAlignment="1" applyProtection="1">
      <alignment horizontal="right" vertical="center"/>
    </xf>
    <xf numFmtId="0" fontId="25" fillId="4" borderId="1" xfId="8" applyFont="1" applyFill="1" applyBorder="1" applyAlignment="1" applyProtection="1">
      <alignment horizontal="right"/>
    </xf>
    <xf numFmtId="0" fontId="24" fillId="2" borderId="1" xfId="8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center" vertical="center" wrapText="1"/>
    </xf>
    <xf numFmtId="3" fontId="22" fillId="4" borderId="1" xfId="0" applyNumberFormat="1" applyFont="1" applyFill="1" applyBorder="1" applyProtection="1"/>
    <xf numFmtId="0" fontId="22" fillId="4" borderId="1" xfId="0" applyFont="1" applyFill="1" applyBorder="1" applyProtection="1"/>
    <xf numFmtId="0" fontId="22" fillId="3" borderId="1" xfId="0" applyFont="1" applyFill="1" applyBorder="1" applyAlignment="1" applyProtection="1">
      <alignment horizontal="right" vertical="center" wrapText="1"/>
    </xf>
    <xf numFmtId="3" fontId="22" fillId="3" borderId="1" xfId="0" applyNumberFormat="1" applyFont="1" applyFill="1" applyBorder="1" applyProtection="1"/>
    <xf numFmtId="0" fontId="22" fillId="3" borderId="1" xfId="0" applyFont="1" applyFill="1" applyBorder="1" applyProtection="1"/>
    <xf numFmtId="0" fontId="24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0" fillId="0" borderId="1" xfId="0" applyBorder="1"/>
    <xf numFmtId="0" fontId="24" fillId="2" borderId="1" xfId="0" applyFont="1" applyFill="1" applyBorder="1"/>
    <xf numFmtId="0" fontId="44" fillId="0" borderId="34" xfId="12" applyBorder="1"/>
    <xf numFmtId="49" fontId="26" fillId="6" borderId="1" xfId="0" applyNumberFormat="1" applyFont="1" applyFill="1" applyBorder="1"/>
    <xf numFmtId="0" fontId="22" fillId="0" borderId="1" xfId="2" applyFont="1" applyFill="1" applyBorder="1" applyAlignment="1" applyProtection="1">
      <alignment horizontal="center" vertical="center" textRotation="90" wrapText="1"/>
    </xf>
    <xf numFmtId="0" fontId="22" fillId="0" borderId="1" xfId="2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45" fillId="9" borderId="41" xfId="10" applyNumberFormat="1" applyFont="1" applyFill="1" applyBorder="1" applyProtection="1">
      <alignment vertical="center"/>
    </xf>
    <xf numFmtId="165" fontId="45" fillId="9" borderId="42" xfId="10" applyNumberFormat="1" applyFont="1" applyFill="1" applyBorder="1" applyAlignment="1" applyProtection="1">
      <alignment horizontal="right" vertical="center"/>
    </xf>
    <xf numFmtId="166" fontId="46" fillId="0" borderId="41" xfId="11" applyNumberFormat="1" applyFont="1" applyBorder="1" applyAlignment="1" applyProtection="1">
      <alignment horizontal="left" vertical="center" indent="1"/>
    </xf>
    <xf numFmtId="166" fontId="46" fillId="0" borderId="43" xfId="11" applyNumberFormat="1" applyFont="1" applyBorder="1" applyAlignment="1" applyProtection="1">
      <alignment horizontal="left" vertical="center" indent="1"/>
    </xf>
    <xf numFmtId="166" fontId="46" fillId="0" borderId="42" xfId="11" applyNumberFormat="1" applyFont="1" applyBorder="1" applyAlignment="1" applyProtection="1">
      <alignment horizontal="left" vertical="center" indent="1"/>
    </xf>
    <xf numFmtId="166" fontId="47" fillId="0" borderId="41" xfId="11" applyNumberFormat="1" applyFont="1" applyBorder="1" applyAlignment="1" applyProtection="1">
      <alignment horizontal="left" vertical="center"/>
    </xf>
    <xf numFmtId="166" fontId="47" fillId="0" borderId="43" xfId="11" applyNumberFormat="1" applyFont="1" applyBorder="1" applyAlignment="1" applyProtection="1">
      <alignment horizontal="left" vertical="center"/>
    </xf>
    <xf numFmtId="166" fontId="47" fillId="0" borderId="42" xfId="11" applyNumberFormat="1" applyFont="1" applyBorder="1" applyAlignment="1" applyProtection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8" fillId="10" borderId="1" xfId="2" applyFont="1" applyFill="1" applyBorder="1" applyAlignment="1">
      <alignment horizontal="left" vertical="center" wrapText="1"/>
    </xf>
    <xf numFmtId="0" fontId="0" fillId="10" borderId="1" xfId="0" applyFill="1" applyBorder="1"/>
    <xf numFmtId="0" fontId="48" fillId="10" borderId="1" xfId="2" applyFont="1" applyFill="1" applyBorder="1" applyAlignment="1">
      <alignment horizontal="center" vertical="center" wrapText="1"/>
    </xf>
    <xf numFmtId="0" fontId="49" fillId="0" borderId="1" xfId="2" applyNumberFormat="1" applyFont="1" applyFill="1" applyBorder="1" applyAlignment="1" applyProtection="1">
      <alignment vertical="center" wrapText="1"/>
    </xf>
    <xf numFmtId="0" fontId="50" fillId="0" borderId="1" xfId="2" applyFont="1" applyBorder="1" applyAlignment="1">
      <alignment horizontal="left" vertical="center" wrapText="1"/>
    </xf>
    <xf numFmtId="0" fontId="50" fillId="0" borderId="1" xfId="2" applyFont="1" applyFill="1" applyBorder="1" applyAlignment="1">
      <alignment horizontal="left" vertical="center" wrapText="1"/>
    </xf>
    <xf numFmtId="0" fontId="48" fillId="10" borderId="1" xfId="2" applyFont="1" applyFill="1" applyBorder="1" applyAlignment="1">
      <alignment wrapText="1"/>
    </xf>
    <xf numFmtId="49" fontId="50" fillId="0" borderId="1" xfId="2" applyNumberFormat="1" applyFont="1" applyBorder="1" applyAlignment="1">
      <alignment horizontal="left" vertical="center" wrapText="1"/>
    </xf>
    <xf numFmtId="0" fontId="49" fillId="11" borderId="1" xfId="2" applyNumberFormat="1" applyFont="1" applyFill="1" applyBorder="1" applyAlignment="1" applyProtection="1">
      <alignment vertical="center" wrapText="1"/>
    </xf>
    <xf numFmtId="0" fontId="48" fillId="10" borderId="1" xfId="2" applyFont="1" applyFill="1" applyBorder="1" applyAlignment="1">
      <alignment vertical="center" wrapText="1"/>
    </xf>
    <xf numFmtId="49" fontId="50" fillId="11" borderId="1" xfId="2" applyNumberFormat="1" applyFont="1" applyFill="1" applyBorder="1" applyAlignment="1">
      <alignment horizontal="left" vertical="center" wrapText="1"/>
    </xf>
    <xf numFmtId="49" fontId="50" fillId="0" borderId="1" xfId="2" applyNumberFormat="1" applyFont="1" applyFill="1" applyBorder="1" applyAlignment="1">
      <alignment horizontal="left" vertical="center" wrapText="1"/>
    </xf>
    <xf numFmtId="0" fontId="54" fillId="0" borderId="1" xfId="2" applyNumberFormat="1" applyFont="1" applyFill="1" applyBorder="1" applyAlignment="1" applyProtection="1">
      <alignment vertical="center" wrapText="1"/>
    </xf>
    <xf numFmtId="0" fontId="50" fillId="11" borderId="1" xfId="2" applyFont="1" applyFill="1" applyBorder="1" applyAlignment="1">
      <alignment horizontal="left" vertical="center" wrapText="1"/>
    </xf>
    <xf numFmtId="0" fontId="49" fillId="12" borderId="1" xfId="2" applyNumberFormat="1" applyFont="1" applyFill="1" applyBorder="1" applyAlignment="1" applyProtection="1">
      <alignment vertical="center" wrapText="1"/>
    </xf>
    <xf numFmtId="0" fontId="50" fillId="12" borderId="1" xfId="2" applyFont="1" applyFill="1" applyBorder="1" applyAlignment="1">
      <alignment horizontal="left" vertical="center" wrapText="1"/>
    </xf>
    <xf numFmtId="0" fontId="55" fillId="10" borderId="1" xfId="2" applyFont="1" applyFill="1" applyBorder="1" applyAlignment="1">
      <alignment horizontal="center" vertical="center" wrapText="1"/>
    </xf>
    <xf numFmtId="0" fontId="55" fillId="10" borderId="11" xfId="0" applyFont="1" applyFill="1" applyBorder="1" applyAlignment="1">
      <alignment horizontal="center" wrapText="1"/>
    </xf>
    <xf numFmtId="0" fontId="55" fillId="10" borderId="1" xfId="0" applyFont="1" applyFill="1" applyBorder="1" applyAlignment="1">
      <alignment wrapText="1"/>
    </xf>
    <xf numFmtId="0" fontId="50" fillId="0" borderId="1" xfId="2" applyFont="1" applyBorder="1" applyAlignment="1">
      <alignment horizontal="left" wrapText="1"/>
    </xf>
    <xf numFmtId="0" fontId="49" fillId="0" borderId="1" xfId="2" applyNumberFormat="1" applyFont="1" applyFill="1" applyBorder="1" applyAlignment="1" applyProtection="1">
      <alignment wrapText="1"/>
    </xf>
    <xf numFmtId="0" fontId="55" fillId="1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56" fillId="0" borderId="1" xfId="0" applyFont="1" applyFill="1" applyBorder="1" applyAlignment="1">
      <alignment vertical="center"/>
    </xf>
    <xf numFmtId="0" fontId="56" fillId="13" borderId="1" xfId="0" quotePrefix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right" vertical="center"/>
    </xf>
    <xf numFmtId="0" fontId="56" fillId="0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vertical="center"/>
    </xf>
    <xf numFmtId="166" fontId="38" fillId="11" borderId="32" xfId="11" applyNumberFormat="1" applyFont="1" applyFill="1" applyBorder="1" applyAlignment="1" applyProtection="1">
      <alignment horizontal="left" vertical="center"/>
    </xf>
    <xf numFmtId="49" fontId="30" fillId="0" borderId="1" xfId="4" applyNumberFormat="1" applyFont="1" applyFill="1" applyBorder="1" applyAlignment="1"/>
    <xf numFmtId="0" fontId="0" fillId="0" borderId="1" xfId="0" applyFill="1" applyBorder="1"/>
    <xf numFmtId="0" fontId="24" fillId="0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28" fillId="11" borderId="2" xfId="2" applyFont="1" applyFill="1" applyBorder="1" applyAlignment="1">
      <alignment horizontal="center" vertical="center"/>
    </xf>
    <xf numFmtId="0" fontId="28" fillId="11" borderId="10" xfId="2" applyFont="1" applyFill="1" applyBorder="1" applyAlignment="1">
      <alignment horizontal="center" vertical="center"/>
    </xf>
    <xf numFmtId="0" fontId="24" fillId="11" borderId="2" xfId="2" applyFont="1" applyFill="1" applyBorder="1" applyAlignment="1">
      <alignment horizontal="center" vertical="center" wrapText="1"/>
    </xf>
    <xf numFmtId="0" fontId="24" fillId="11" borderId="9" xfId="2" applyFont="1" applyFill="1" applyBorder="1" applyAlignment="1">
      <alignment horizontal="centerContinuous" vertical="center"/>
    </xf>
    <xf numFmtId="3" fontId="24" fillId="11" borderId="9" xfId="2" applyNumberFormat="1" applyFont="1" applyFill="1" applyBorder="1" applyAlignment="1">
      <alignment horizontal="right" vertical="center"/>
    </xf>
    <xf numFmtId="3" fontId="22" fillId="0" borderId="9" xfId="13" applyNumberFormat="1" applyFont="1" applyFill="1" applyBorder="1" applyAlignment="1">
      <alignment horizontal="right" vertical="center"/>
    </xf>
    <xf numFmtId="0" fontId="22" fillId="11" borderId="9" xfId="2" applyFont="1" applyFill="1" applyBorder="1" applyAlignment="1">
      <alignment horizontal="right" vertical="center"/>
    </xf>
    <xf numFmtId="0" fontId="22" fillId="0" borderId="9" xfId="14" applyFont="1" applyFill="1" applyBorder="1" applyAlignment="1">
      <alignment horizontal="right" vertical="center"/>
    </xf>
    <xf numFmtId="2" fontId="22" fillId="11" borderId="9" xfId="2" applyNumberFormat="1" applyFont="1" applyFill="1" applyBorder="1" applyAlignment="1">
      <alignment horizontal="center" vertical="center"/>
    </xf>
    <xf numFmtId="2" fontId="22" fillId="11" borderId="1" xfId="2" applyNumberFormat="1" applyFont="1" applyFill="1" applyBorder="1" applyAlignment="1">
      <alignment horizontal="center" vertical="center"/>
    </xf>
    <xf numFmtId="0" fontId="22" fillId="0" borderId="9" xfId="15" applyFont="1" applyFill="1" applyBorder="1" applyAlignment="1">
      <alignment horizontal="center" vertical="center"/>
    </xf>
    <xf numFmtId="2" fontId="22" fillId="11" borderId="26" xfId="2" applyNumberFormat="1" applyFont="1" applyFill="1" applyBorder="1" applyAlignment="1">
      <alignment horizontal="center" vertical="center"/>
    </xf>
    <xf numFmtId="0" fontId="27" fillId="11" borderId="1" xfId="2" applyFont="1" applyFill="1" applyBorder="1" applyAlignment="1">
      <alignment horizontal="centerContinuous" vertical="center"/>
    </xf>
    <xf numFmtId="3" fontId="24" fillId="11" borderId="3" xfId="2" applyNumberFormat="1" applyFont="1" applyFill="1" applyBorder="1" applyAlignment="1">
      <alignment horizontal="right" vertical="center"/>
    </xf>
    <xf numFmtId="3" fontId="22" fillId="0" borderId="3" xfId="13" applyNumberFormat="1" applyFont="1" applyFill="1" applyBorder="1" applyAlignment="1">
      <alignment horizontal="right" vertical="center"/>
    </xf>
    <xf numFmtId="0" fontId="22" fillId="11" borderId="3" xfId="2" applyFont="1" applyFill="1" applyBorder="1" applyAlignment="1">
      <alignment horizontal="right" vertical="center"/>
    </xf>
    <xf numFmtId="0" fontId="22" fillId="0" borderId="3" xfId="14" applyFont="1" applyFill="1" applyBorder="1" applyAlignment="1">
      <alignment horizontal="right" vertical="center"/>
    </xf>
    <xf numFmtId="2" fontId="22" fillId="11" borderId="11" xfId="2" applyNumberFormat="1" applyFont="1" applyFill="1" applyBorder="1" applyAlignment="1">
      <alignment horizontal="center" vertical="center"/>
    </xf>
    <xf numFmtId="0" fontId="27" fillId="11" borderId="7" xfId="2" applyFont="1" applyFill="1" applyBorder="1" applyAlignment="1">
      <alignment horizontal="centerContinuous" vertical="center" wrapText="1"/>
    </xf>
    <xf numFmtId="3" fontId="24" fillId="11" borderId="4" xfId="2" applyNumberFormat="1" applyFont="1" applyFill="1" applyBorder="1" applyAlignment="1">
      <alignment horizontal="right" vertical="center"/>
    </xf>
    <xf numFmtId="3" fontId="22" fillId="0" borderId="4" xfId="13" applyNumberFormat="1" applyFont="1" applyFill="1" applyBorder="1" applyAlignment="1">
      <alignment horizontal="right" vertical="center"/>
    </xf>
    <xf numFmtId="0" fontId="22" fillId="11" borderId="4" xfId="2" applyFont="1" applyFill="1" applyBorder="1" applyAlignment="1">
      <alignment horizontal="right" vertical="center"/>
    </xf>
    <xf numFmtId="0" fontId="22" fillId="0" borderId="4" xfId="14" applyFont="1" applyFill="1" applyBorder="1" applyAlignment="1">
      <alignment horizontal="right" vertical="center"/>
    </xf>
    <xf numFmtId="2" fontId="22" fillId="11" borderId="2" xfId="2" applyNumberFormat="1" applyFont="1" applyFill="1" applyBorder="1" applyAlignment="1">
      <alignment horizontal="center" vertical="center"/>
    </xf>
    <xf numFmtId="2" fontId="22" fillId="11" borderId="7" xfId="2" applyNumberFormat="1" applyFont="1" applyFill="1" applyBorder="1" applyAlignment="1">
      <alignment horizontal="center" vertical="center"/>
    </xf>
    <xf numFmtId="0" fontId="24" fillId="11" borderId="26" xfId="2" applyFont="1" applyFill="1" applyBorder="1" applyAlignment="1">
      <alignment horizontal="centerContinuous" vertical="center"/>
    </xf>
    <xf numFmtId="3" fontId="24" fillId="11" borderId="26" xfId="2" applyNumberFormat="1" applyFont="1" applyFill="1" applyBorder="1" applyAlignment="1">
      <alignment horizontal="right" vertical="center"/>
    </xf>
    <xf numFmtId="0" fontId="22" fillId="11" borderId="26" xfId="2" applyFont="1" applyFill="1" applyBorder="1" applyAlignment="1">
      <alignment horizontal="right" vertical="center"/>
    </xf>
    <xf numFmtId="3" fontId="24" fillId="11" borderId="1" xfId="2" applyNumberFormat="1" applyFont="1" applyFill="1" applyBorder="1" applyAlignment="1">
      <alignment horizontal="right" vertical="center"/>
    </xf>
    <xf numFmtId="0" fontId="22" fillId="11" borderId="1" xfId="2" applyFont="1" applyFill="1" applyBorder="1" applyAlignment="1">
      <alignment horizontal="right" vertical="center"/>
    </xf>
    <xf numFmtId="0" fontId="27" fillId="11" borderId="2" xfId="2" applyFont="1" applyFill="1" applyBorder="1" applyAlignment="1">
      <alignment horizontal="centerContinuous" vertical="center" wrapText="1"/>
    </xf>
    <xf numFmtId="3" fontId="24" fillId="11" borderId="2" xfId="2" applyNumberFormat="1" applyFont="1" applyFill="1" applyBorder="1" applyAlignment="1">
      <alignment horizontal="right" vertical="center"/>
    </xf>
    <xf numFmtId="0" fontId="22" fillId="11" borderId="2" xfId="2" applyFont="1" applyFill="1" applyBorder="1" applyAlignment="1">
      <alignment horizontal="right" vertical="center"/>
    </xf>
    <xf numFmtId="0" fontId="22" fillId="11" borderId="9" xfId="14" applyFont="1" applyFill="1" applyBorder="1" applyAlignment="1">
      <alignment horizontal="right" vertical="center"/>
    </xf>
    <xf numFmtId="0" fontId="22" fillId="11" borderId="3" xfId="14" applyFont="1" applyFill="1" applyBorder="1" applyAlignment="1">
      <alignment horizontal="right" vertical="center"/>
    </xf>
    <xf numFmtId="0" fontId="22" fillId="11" borderId="4" xfId="14" applyFont="1" applyFill="1" applyBorder="1" applyAlignment="1">
      <alignment horizontal="right" vertical="center"/>
    </xf>
    <xf numFmtId="3" fontId="24" fillId="11" borderId="24" xfId="2" applyNumberFormat="1" applyFont="1" applyFill="1" applyBorder="1" applyAlignment="1">
      <alignment horizontal="right" vertical="center"/>
    </xf>
    <xf numFmtId="3" fontId="24" fillId="11" borderId="21" xfId="2" applyNumberFormat="1" applyFont="1" applyFill="1" applyBorder="1" applyAlignment="1">
      <alignment horizontal="right" vertical="center"/>
    </xf>
    <xf numFmtId="3" fontId="24" fillId="11" borderId="19" xfId="2" applyNumberFormat="1" applyFont="1" applyFill="1" applyBorder="1" applyAlignment="1">
      <alignment horizontal="right" vertical="center"/>
    </xf>
    <xf numFmtId="0" fontId="24" fillId="11" borderId="5" xfId="2" applyFont="1" applyFill="1" applyBorder="1" applyAlignment="1">
      <alignment horizontal="centerContinuous" vertical="center"/>
    </xf>
    <xf numFmtId="3" fontId="58" fillId="11" borderId="5" xfId="2" applyNumberFormat="1" applyFont="1" applyFill="1" applyBorder="1" applyAlignment="1">
      <alignment horizontal="right" vertical="center"/>
    </xf>
    <xf numFmtId="3" fontId="25" fillId="10" borderId="5" xfId="13" applyNumberFormat="1" applyFont="1" applyFill="1" applyBorder="1" applyAlignment="1">
      <alignment horizontal="right" vertical="center"/>
    </xf>
    <xf numFmtId="3" fontId="22" fillId="10" borderId="3" xfId="13" applyNumberFormat="1" applyFont="1" applyFill="1" applyBorder="1" applyAlignment="1">
      <alignment horizontal="right" vertical="center"/>
    </xf>
    <xf numFmtId="0" fontId="22" fillId="10" borderId="3" xfId="14" applyFont="1" applyFill="1" applyBorder="1" applyAlignment="1">
      <alignment horizontal="right" vertical="center"/>
    </xf>
    <xf numFmtId="3" fontId="22" fillId="10" borderId="4" xfId="13" applyNumberFormat="1" applyFont="1" applyFill="1" applyBorder="1" applyAlignment="1">
      <alignment horizontal="right" vertical="center"/>
    </xf>
    <xf numFmtId="0" fontId="22" fillId="10" borderId="4" xfId="14" applyFont="1" applyFill="1" applyBorder="1" applyAlignment="1">
      <alignment horizontal="right" vertical="center"/>
    </xf>
    <xf numFmtId="0" fontId="24" fillId="11" borderId="11" xfId="2" applyFont="1" applyFill="1" applyBorder="1" applyAlignment="1">
      <alignment horizontal="centerContinuous" vertical="center"/>
    </xf>
    <xf numFmtId="0" fontId="22" fillId="11" borderId="5" xfId="2" applyFont="1" applyFill="1" applyBorder="1" applyAlignment="1">
      <alignment horizontal="right" vertical="center"/>
    </xf>
    <xf numFmtId="3" fontId="58" fillId="11" borderId="9" xfId="2" applyNumberFormat="1" applyFont="1" applyFill="1" applyBorder="1" applyAlignment="1">
      <alignment horizontal="right" vertical="center"/>
    </xf>
    <xf numFmtId="165" fontId="36" fillId="15" borderId="31" xfId="10" applyNumberFormat="1" applyFont="1" applyFill="1" applyBorder="1" applyProtection="1">
      <alignment vertical="center"/>
    </xf>
    <xf numFmtId="165" fontId="36" fillId="15" borderId="33" xfId="10" applyNumberFormat="1" applyFont="1" applyFill="1" applyBorder="1" applyAlignment="1" applyProtection="1">
      <alignment horizontal="right" vertical="center" wrapText="1"/>
    </xf>
    <xf numFmtId="2" fontId="9" fillId="0" borderId="22" xfId="2" applyNumberFormat="1" applyFont="1" applyFill="1" applyBorder="1" applyAlignment="1">
      <alignment horizontal="center" vertical="center" wrapText="1"/>
    </xf>
    <xf numFmtId="2" fontId="0" fillId="0" borderId="12" xfId="0" applyNumberFormat="1" applyBorder="1"/>
    <xf numFmtId="3" fontId="24" fillId="0" borderId="11" xfId="16" applyNumberFormat="1" applyFont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center" vertical="center"/>
    </xf>
    <xf numFmtId="0" fontId="22" fillId="0" borderId="1" xfId="17" applyFont="1" applyFill="1" applyBorder="1" applyAlignment="1">
      <alignment horizontal="centerContinuous" vertical="center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16" applyNumberFormat="1" applyFont="1" applyFill="1" applyBorder="1" applyAlignment="1">
      <alignment horizontal="right" vertical="center"/>
    </xf>
    <xf numFmtId="3" fontId="9" fillId="0" borderId="1" xfId="18" applyNumberFormat="1" applyFont="1" applyFill="1" applyBorder="1" applyAlignment="1">
      <alignment horizontal="right" vertical="center"/>
    </xf>
    <xf numFmtId="0" fontId="9" fillId="2" borderId="1" xfId="17" applyFont="1" applyFill="1" applyBorder="1" applyAlignment="1">
      <alignment horizontal="center" vertical="center"/>
    </xf>
    <xf numFmtId="3" fontId="23" fillId="0" borderId="1" xfId="16" applyNumberFormat="1" applyFont="1" applyFill="1" applyBorder="1" applyAlignment="1">
      <alignment vertical="center"/>
    </xf>
    <xf numFmtId="3" fontId="23" fillId="0" borderId="1" xfId="18" applyNumberFormat="1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2" fontId="60" fillId="0" borderId="11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2" fontId="24" fillId="0" borderId="1" xfId="2" applyNumberFormat="1" applyFont="1" applyFill="1" applyBorder="1" applyAlignment="1">
      <alignment horizontal="center" vertical="center" wrapText="1"/>
    </xf>
    <xf numFmtId="3" fontId="24" fillId="0" borderId="2" xfId="2" applyNumberFormat="1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2" fontId="24" fillId="0" borderId="7" xfId="3" applyNumberFormat="1" applyFont="1" applyBorder="1" applyAlignment="1">
      <alignment horizontal="center" vertical="center" wrapText="1"/>
    </xf>
    <xf numFmtId="0" fontId="24" fillId="0" borderId="7" xfId="3" applyFont="1" applyBorder="1" applyAlignment="1">
      <alignment horizontal="right" vertical="center" wrapText="1"/>
    </xf>
    <xf numFmtId="0" fontId="9" fillId="0" borderId="11" xfId="2" applyFont="1" applyFill="1" applyBorder="1" applyAlignment="1">
      <alignment horizontal="centerContinuous" vertical="center"/>
    </xf>
    <xf numFmtId="0" fontId="9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right" vertical="center"/>
    </xf>
    <xf numFmtId="3" fontId="9" fillId="0" borderId="21" xfId="2" applyNumberFormat="1" applyFont="1" applyFill="1" applyBorder="1" applyAlignment="1">
      <alignment horizontal="right" vertical="center"/>
    </xf>
    <xf numFmtId="0" fontId="24" fillId="0" borderId="11" xfId="3" applyFont="1" applyBorder="1" applyAlignment="1">
      <alignment horizontal="right" vertical="center" wrapText="1"/>
    </xf>
    <xf numFmtId="2" fontId="24" fillId="0" borderId="11" xfId="3" applyNumberFormat="1" applyFont="1" applyBorder="1" applyAlignment="1">
      <alignment horizontal="right" vertical="center" wrapText="1"/>
    </xf>
    <xf numFmtId="3" fontId="9" fillId="0" borderId="5" xfId="2" applyNumberFormat="1" applyFont="1" applyFill="1" applyBorder="1" applyAlignment="1">
      <alignment horizontal="right" vertical="center"/>
    </xf>
    <xf numFmtId="2" fontId="24" fillId="0" borderId="11" xfId="3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Continuous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right" vertical="center"/>
    </xf>
    <xf numFmtId="3" fontId="9" fillId="0" borderId="12" xfId="2" applyNumberFormat="1" applyFont="1" applyFill="1" applyBorder="1" applyAlignment="1">
      <alignment horizontal="right" vertical="center"/>
    </xf>
    <xf numFmtId="0" fontId="24" fillId="0" borderId="1" xfId="3" applyFont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Continuous" vertical="center"/>
    </xf>
    <xf numFmtId="3" fontId="9" fillId="0" borderId="18" xfId="2" applyNumberFormat="1" applyFont="1" applyFill="1" applyBorder="1" applyAlignment="1">
      <alignment horizontal="right" vertical="center"/>
    </xf>
    <xf numFmtId="3" fontId="9" fillId="0" borderId="13" xfId="2" applyNumberFormat="1" applyFont="1" applyFill="1" applyBorder="1" applyAlignment="1">
      <alignment horizontal="right" vertical="center"/>
    </xf>
    <xf numFmtId="3" fontId="9" fillId="0" borderId="27" xfId="2" applyNumberFormat="1" applyFont="1" applyFill="1" applyBorder="1" applyAlignment="1">
      <alignment horizontal="right" vertical="center"/>
    </xf>
    <xf numFmtId="3" fontId="9" fillId="0" borderId="17" xfId="2" applyNumberFormat="1" applyFont="1" applyFill="1" applyBorder="1" applyAlignment="1">
      <alignment horizontal="right" vertical="center"/>
    </xf>
    <xf numFmtId="3" fontId="9" fillId="0" borderId="1" xfId="2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right" vertical="center"/>
    </xf>
    <xf numFmtId="0" fontId="9" fillId="0" borderId="5" xfId="3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right" vertical="center"/>
    </xf>
    <xf numFmtId="0" fontId="21" fillId="0" borderId="11" xfId="2" applyFont="1" applyFill="1" applyBorder="1" applyAlignment="1">
      <alignment horizontal="right" vertical="center"/>
    </xf>
    <xf numFmtId="3" fontId="21" fillId="0" borderId="11" xfId="2" applyNumberFormat="1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right" vertical="center"/>
    </xf>
    <xf numFmtId="166" fontId="37" fillId="11" borderId="44" xfId="11" applyNumberFormat="1" applyFont="1" applyFill="1" applyBorder="1" applyAlignment="1" applyProtection="1">
      <alignment vertical="center"/>
    </xf>
    <xf numFmtId="166" fontId="37" fillId="11" borderId="0" xfId="11" applyNumberFormat="1" applyFont="1" applyFill="1" applyBorder="1" applyAlignment="1" applyProtection="1">
      <alignment vertical="center"/>
    </xf>
    <xf numFmtId="14" fontId="57" fillId="11" borderId="44" xfId="2" applyNumberFormat="1" applyFont="1" applyFill="1" applyBorder="1" applyAlignment="1"/>
    <xf numFmtId="0" fontId="57" fillId="11" borderId="0" xfId="2" applyFont="1" applyFill="1" applyAlignment="1"/>
    <xf numFmtId="0" fontId="41" fillId="0" borderId="0" xfId="2" applyFont="1"/>
    <xf numFmtId="0" fontId="9" fillId="0" borderId="0" xfId="3" applyFont="1" applyFill="1" applyAlignment="1">
      <alignment horizontal="center"/>
    </xf>
    <xf numFmtId="4" fontId="9" fillId="0" borderId="0" xfId="3" applyNumberFormat="1" applyFont="1" applyFill="1" applyAlignment="1">
      <alignment horizontal="center"/>
    </xf>
    <xf numFmtId="0" fontId="9" fillId="0" borderId="0" xfId="3" applyFont="1"/>
    <xf numFmtId="0" fontId="41" fillId="0" borderId="1" xfId="2" applyFont="1" applyBorder="1"/>
    <xf numFmtId="0" fontId="9" fillId="0" borderId="22" xfId="3" applyFont="1" applyFill="1" applyBorder="1" applyAlignment="1">
      <alignment horizontal="center" wrapText="1"/>
    </xf>
    <xf numFmtId="4" fontId="9" fillId="0" borderId="22" xfId="3" applyNumberFormat="1" applyFont="1" applyFill="1" applyBorder="1" applyAlignment="1">
      <alignment horizontal="center" wrapText="1"/>
    </xf>
    <xf numFmtId="0" fontId="41" fillId="0" borderId="17" xfId="2" applyFont="1" applyBorder="1"/>
    <xf numFmtId="0" fontId="9" fillId="0" borderId="17" xfId="3" applyFont="1" applyFill="1" applyBorder="1" applyAlignment="1">
      <alignment horizontal="center" vertical="center" wrapText="1"/>
    </xf>
    <xf numFmtId="0" fontId="24" fillId="0" borderId="27" xfId="3" applyFont="1" applyBorder="1" applyAlignment="1">
      <alignment horizontal="center" vertical="center" wrapText="1"/>
    </xf>
    <xf numFmtId="3" fontId="24" fillId="11" borderId="19" xfId="15" applyNumberFormat="1" applyFont="1" applyFill="1" applyBorder="1" applyAlignment="1">
      <alignment horizontal="center" vertical="center" wrapText="1"/>
    </xf>
    <xf numFmtId="3" fontId="24" fillId="11" borderId="27" xfId="15" applyNumberFormat="1" applyFont="1" applyFill="1" applyBorder="1" applyAlignment="1">
      <alignment horizontal="center" vertical="center" wrapText="1"/>
    </xf>
    <xf numFmtId="4" fontId="24" fillId="0" borderId="27" xfId="3" applyNumberFormat="1" applyFont="1" applyBorder="1" applyAlignment="1">
      <alignment horizontal="center" vertical="center" wrapText="1"/>
    </xf>
    <xf numFmtId="0" fontId="61" fillId="0" borderId="1" xfId="2" applyFont="1" applyBorder="1"/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3" fontId="21" fillId="11" borderId="1" xfId="13" applyNumberFormat="1" applyFont="1" applyFill="1" applyBorder="1" applyAlignment="1">
      <alignment vertical="center"/>
    </xf>
    <xf numFmtId="3" fontId="21" fillId="11" borderId="27" xfId="13" applyNumberFormat="1" applyFont="1" applyFill="1" applyBorder="1" applyAlignment="1">
      <alignment vertical="center"/>
    </xf>
    <xf numFmtId="3" fontId="21" fillId="11" borderId="1" xfId="6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vertical="center"/>
    </xf>
    <xf numFmtId="2" fontId="21" fillId="0" borderId="1" xfId="3" applyNumberFormat="1" applyFont="1" applyFill="1" applyBorder="1" applyAlignment="1">
      <alignment vertical="center"/>
    </xf>
    <xf numFmtId="3" fontId="21" fillId="11" borderId="27" xfId="14" applyNumberFormat="1" applyFont="1" applyFill="1" applyBorder="1" applyAlignment="1">
      <alignment vertical="center"/>
    </xf>
    <xf numFmtId="3" fontId="21" fillId="11" borderId="1" xfId="14" applyNumberFormat="1" applyFont="1" applyFill="1" applyBorder="1" applyAlignment="1">
      <alignment vertical="center"/>
    </xf>
    <xf numFmtId="4" fontId="21" fillId="0" borderId="1" xfId="3" applyNumberFormat="1" applyFont="1" applyFill="1" applyBorder="1" applyAlignment="1">
      <alignment vertical="center"/>
    </xf>
    <xf numFmtId="0" fontId="62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 applyProtection="1">
      <alignment vertical="center" wrapText="1"/>
    </xf>
    <xf numFmtId="3" fontId="9" fillId="11" borderId="12" xfId="13" applyNumberFormat="1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3" fontId="9" fillId="11" borderId="12" xfId="14" applyNumberFormat="1" applyFont="1" applyFill="1" applyBorder="1" applyAlignment="1">
      <alignment vertical="center"/>
    </xf>
    <xf numFmtId="3" fontId="9" fillId="11" borderId="1" xfId="14" applyNumberFormat="1" applyFont="1" applyFill="1" applyBorder="1" applyAlignment="1">
      <alignment vertical="center"/>
    </xf>
    <xf numFmtId="0" fontId="9" fillId="0" borderId="22" xfId="3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0" fontId="32" fillId="0" borderId="12" xfId="3" applyFont="1" applyFill="1" applyBorder="1" applyAlignment="1">
      <alignment horizontal="center" vertical="center"/>
    </xf>
    <xf numFmtId="3" fontId="9" fillId="11" borderId="21" xfId="13" applyNumberFormat="1" applyFont="1" applyFill="1" applyBorder="1" applyAlignment="1">
      <alignment vertical="center"/>
    </xf>
    <xf numFmtId="0" fontId="9" fillId="0" borderId="21" xfId="3" applyFont="1" applyFill="1" applyBorder="1" applyAlignment="1">
      <alignment vertical="center"/>
    </xf>
    <xf numFmtId="3" fontId="9" fillId="11" borderId="21" xfId="14" applyNumberFormat="1" applyFont="1" applyFill="1" applyBorder="1" applyAlignment="1">
      <alignment vertical="center"/>
    </xf>
    <xf numFmtId="0" fontId="9" fillId="0" borderId="28" xfId="3" applyFont="1" applyFill="1" applyBorder="1" applyAlignment="1">
      <alignment vertical="center"/>
    </xf>
    <xf numFmtId="3" fontId="9" fillId="0" borderId="11" xfId="3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3" fontId="9" fillId="11" borderId="22" xfId="14" applyNumberFormat="1" applyFont="1" applyFill="1" applyBorder="1" applyAlignment="1">
      <alignment vertical="center"/>
    </xf>
    <xf numFmtId="0" fontId="32" fillId="0" borderId="1" xfId="3" applyFont="1" applyFill="1" applyBorder="1" applyAlignment="1">
      <alignment horizontal="center" vertical="center"/>
    </xf>
    <xf numFmtId="0" fontId="62" fillId="0" borderId="1" xfId="3" applyFont="1" applyFill="1" applyBorder="1" applyAlignment="1">
      <alignment horizontal="center" vertical="center" wrapText="1"/>
    </xf>
    <xf numFmtId="3" fontId="9" fillId="11" borderId="27" xfId="13" applyNumberFormat="1" applyFont="1" applyFill="1" applyBorder="1" applyAlignment="1">
      <alignment vertical="center"/>
    </xf>
    <xf numFmtId="3" fontId="9" fillId="11" borderId="27" xfId="14" applyNumberFormat="1" applyFont="1" applyFill="1" applyBorder="1" applyAlignment="1">
      <alignment vertical="center"/>
    </xf>
    <xf numFmtId="3" fontId="9" fillId="11" borderId="0" xfId="14" applyNumberFormat="1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32" fillId="0" borderId="27" xfId="3" applyFont="1" applyFill="1" applyBorder="1" applyAlignment="1">
      <alignment horizontal="center" vertical="center"/>
    </xf>
    <xf numFmtId="3" fontId="9" fillId="11" borderId="12" xfId="13" applyNumberFormat="1" applyFont="1" applyFill="1" applyBorder="1" applyAlignment="1">
      <alignment horizontal="right" wrapText="1"/>
    </xf>
    <xf numFmtId="0" fontId="9" fillId="0" borderId="12" xfId="3" applyFont="1" applyFill="1" applyBorder="1" applyAlignment="1">
      <alignment horizontal="center" wrapText="1"/>
    </xf>
    <xf numFmtId="3" fontId="9" fillId="11" borderId="12" xfId="14" applyNumberFormat="1" applyFont="1" applyFill="1" applyBorder="1" applyAlignment="1">
      <alignment horizontal="right" wrapText="1"/>
    </xf>
    <xf numFmtId="3" fontId="9" fillId="11" borderId="22" xfId="14" applyNumberFormat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center" wrapText="1"/>
    </xf>
    <xf numFmtId="0" fontId="9" fillId="0" borderId="12" xfId="3" applyFont="1" applyFill="1" applyBorder="1" applyAlignment="1">
      <alignment wrapText="1"/>
    </xf>
    <xf numFmtId="0" fontId="9" fillId="0" borderId="1" xfId="3" applyFont="1" applyBorder="1" applyAlignment="1">
      <alignment wrapText="1"/>
    </xf>
    <xf numFmtId="3" fontId="9" fillId="11" borderId="12" xfId="13" applyNumberFormat="1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3" fontId="9" fillId="11" borderId="12" xfId="14" applyNumberFormat="1" applyFont="1" applyFill="1" applyBorder="1" applyAlignment="1">
      <alignment horizontal="center"/>
    </xf>
    <xf numFmtId="3" fontId="9" fillId="11" borderId="22" xfId="14" applyNumberFormat="1" applyFont="1" applyFill="1" applyBorder="1" applyAlignment="1">
      <alignment horizontal="center"/>
    </xf>
    <xf numFmtId="0" fontId="9" fillId="0" borderId="22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9" fillId="0" borderId="12" xfId="3" applyFont="1" applyFill="1" applyBorder="1" applyAlignment="1"/>
    <xf numFmtId="3" fontId="21" fillId="11" borderId="1" xfId="13" applyNumberFormat="1" applyFont="1" applyFill="1" applyBorder="1" applyAlignment="1">
      <alignment horizontal="center"/>
    </xf>
    <xf numFmtId="2" fontId="21" fillId="11" borderId="1" xfId="3" applyNumberFormat="1" applyFont="1" applyFill="1" applyBorder="1" applyAlignment="1">
      <alignment vertical="center"/>
    </xf>
    <xf numFmtId="3" fontId="21" fillId="11" borderId="1" xfId="14" applyNumberFormat="1" applyFont="1" applyFill="1" applyBorder="1" applyAlignment="1">
      <alignment horizontal="center"/>
    </xf>
    <xf numFmtId="3" fontId="21" fillId="0" borderId="11" xfId="3" applyNumberFormat="1" applyFont="1" applyFill="1" applyBorder="1" applyAlignment="1">
      <alignment horizontal="center"/>
    </xf>
    <xf numFmtId="3" fontId="21" fillId="0" borderId="21" xfId="3" applyNumberFormat="1" applyFont="1" applyFill="1" applyBorder="1" applyAlignment="1"/>
    <xf numFmtId="3" fontId="21" fillId="11" borderId="11" xfId="13" applyNumberFormat="1" applyFont="1" applyFill="1" applyBorder="1" applyAlignment="1">
      <alignment vertical="center"/>
    </xf>
    <xf numFmtId="0" fontId="24" fillId="0" borderId="26" xfId="3" applyFont="1" applyBorder="1" applyAlignment="1">
      <alignment horizontal="center" vertical="center" wrapText="1"/>
    </xf>
    <xf numFmtId="0" fontId="24" fillId="0" borderId="24" xfId="3" applyFont="1" applyBorder="1" applyAlignment="1">
      <alignment horizontal="center" vertical="center" wrapText="1"/>
    </xf>
    <xf numFmtId="2" fontId="23" fillId="0" borderId="22" xfId="3" applyNumberFormat="1" applyFont="1" applyFill="1" applyBorder="1" applyAlignment="1">
      <alignment horizontal="center" vertical="center" wrapText="1"/>
    </xf>
    <xf numFmtId="2" fontId="23" fillId="0" borderId="12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0" fontId="24" fillId="0" borderId="11" xfId="3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Continuous" vertical="center"/>
    </xf>
    <xf numFmtId="0" fontId="58" fillId="0" borderId="1" xfId="13" applyFont="1" applyFill="1" applyBorder="1" applyAlignment="1">
      <alignment horizontal="center" vertical="center"/>
    </xf>
    <xf numFmtId="0" fontId="60" fillId="0" borderId="1" xfId="3" applyFont="1" applyFill="1" applyBorder="1" applyAlignment="1">
      <alignment horizontal="center" vertical="center"/>
    </xf>
    <xf numFmtId="2" fontId="60" fillId="0" borderId="1" xfId="3" applyNumberFormat="1" applyFont="1" applyFill="1" applyBorder="1" applyAlignment="1">
      <alignment horizontal="center" vertical="center"/>
    </xf>
    <xf numFmtId="0" fontId="60" fillId="0" borderId="1" xfId="14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Continuous" vertical="center"/>
    </xf>
    <xf numFmtId="164" fontId="24" fillId="2" borderId="1" xfId="13" applyNumberFormat="1" applyFont="1" applyFill="1" applyBorder="1" applyAlignment="1">
      <alignment horizontal="center" vertical="center"/>
    </xf>
    <xf numFmtId="164" fontId="24" fillId="2" borderId="1" xfId="3" applyNumberFormat="1" applyFont="1" applyFill="1" applyBorder="1" applyAlignment="1">
      <alignment horizontal="center" vertical="center"/>
    </xf>
    <xf numFmtId="2" fontId="24" fillId="0" borderId="1" xfId="3" applyNumberFormat="1" applyFont="1" applyFill="1" applyBorder="1" applyAlignment="1">
      <alignment horizontal="center" vertical="center"/>
    </xf>
    <xf numFmtId="164" fontId="24" fillId="2" borderId="1" xfId="14" applyNumberFormat="1" applyFont="1" applyFill="1" applyBorder="1" applyAlignment="1">
      <alignment horizontal="center" vertical="center"/>
    </xf>
    <xf numFmtId="0" fontId="27" fillId="0" borderId="1" xfId="3" applyFont="1" applyBorder="1" applyAlignment="1">
      <alignment horizontal="centerContinuous" vertical="center"/>
    </xf>
    <xf numFmtId="1" fontId="24" fillId="2" borderId="1" xfId="13" applyNumberFormat="1" applyFont="1" applyFill="1" applyBorder="1" applyAlignment="1">
      <alignment horizontal="center" vertical="center"/>
    </xf>
    <xf numFmtId="1" fontId="24" fillId="2" borderId="1" xfId="3" applyNumberFormat="1" applyFont="1" applyFill="1" applyBorder="1" applyAlignment="1">
      <alignment horizontal="center" vertical="center"/>
    </xf>
    <xf numFmtId="3" fontId="24" fillId="2" borderId="1" xfId="14" applyNumberFormat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Continuous" vertical="center" wrapText="1"/>
    </xf>
    <xf numFmtId="2" fontId="24" fillId="2" borderId="1" xfId="3" applyNumberFormat="1" applyFont="1" applyFill="1" applyBorder="1" applyAlignment="1">
      <alignment horizontal="center" vertical="center"/>
    </xf>
    <xf numFmtId="0" fontId="24" fillId="0" borderId="6" xfId="3" applyFont="1" applyBorder="1" applyAlignment="1">
      <alignment horizontal="center" vertical="center" wrapText="1"/>
    </xf>
    <xf numFmtId="0" fontId="24" fillId="11" borderId="6" xfId="3" applyFont="1" applyFill="1" applyBorder="1" applyAlignment="1">
      <alignment horizontal="center" vertical="center" wrapText="1"/>
    </xf>
    <xf numFmtId="2" fontId="24" fillId="0" borderId="6" xfId="3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60" fillId="0" borderId="1" xfId="2" quotePrefix="1" applyFont="1" applyFill="1" applyBorder="1" applyAlignment="1">
      <alignment horizontal="left" vertical="center" wrapText="1"/>
    </xf>
    <xf numFmtId="49" fontId="7" fillId="0" borderId="1" xfId="19" applyNumberFormat="1" applyFont="1" applyFill="1" applyBorder="1" applyAlignment="1">
      <alignment horizontal="center" vertical="center"/>
    </xf>
    <xf numFmtId="0" fontId="7" fillId="0" borderId="1" xfId="19" applyFont="1" applyFill="1" applyBorder="1" applyAlignment="1"/>
    <xf numFmtId="3" fontId="9" fillId="0" borderId="12" xfId="19" quotePrefix="1" applyNumberFormat="1" applyFont="1" applyFill="1" applyBorder="1" applyAlignment="1">
      <alignment horizontal="center" vertical="center"/>
    </xf>
    <xf numFmtId="0" fontId="24" fillId="11" borderId="1" xfId="3" applyFont="1" applyFill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3" fontId="2" fillId="11" borderId="1" xfId="2" quotePrefix="1" applyNumberFormat="1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0" fontId="7" fillId="0" borderId="1" xfId="19" applyFont="1" applyFill="1" applyBorder="1" applyAlignment="1">
      <alignment wrapText="1"/>
    </xf>
    <xf numFmtId="49" fontId="7" fillId="0" borderId="1" xfId="19" applyNumberFormat="1" applyFont="1" applyFill="1" applyBorder="1" applyAlignment="1">
      <alignment horizontal="center" vertical="center" wrapText="1"/>
    </xf>
    <xf numFmtId="49" fontId="7" fillId="0" borderId="1" xfId="19" applyNumberFormat="1" applyFont="1" applyFill="1" applyBorder="1" applyAlignment="1">
      <alignment vertical="center" wrapText="1"/>
    </xf>
    <xf numFmtId="3" fontId="9" fillId="0" borderId="12" xfId="0" quotePrefix="1" applyNumberFormat="1" applyFont="1" applyFill="1" applyBorder="1" applyAlignment="1">
      <alignment horizontal="center" vertical="center"/>
    </xf>
    <xf numFmtId="49" fontId="7" fillId="0" borderId="1" xfId="19" applyNumberFormat="1" applyFont="1" applyFill="1" applyBorder="1" applyAlignment="1">
      <alignment wrapText="1"/>
    </xf>
    <xf numFmtId="3" fontId="2" fillId="11" borderId="1" xfId="2" quotePrefix="1" applyNumberFormat="1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2" fontId="24" fillId="11" borderId="1" xfId="3" applyNumberFormat="1" applyFont="1" applyFill="1" applyBorder="1" applyAlignment="1">
      <alignment horizontal="center" vertical="center" wrapText="1"/>
    </xf>
    <xf numFmtId="0" fontId="59" fillId="0" borderId="1" xfId="2" quotePrefix="1" applyFont="1" applyFill="1" applyBorder="1" applyAlignment="1">
      <alignment horizontal="left" vertical="center" wrapText="1"/>
    </xf>
    <xf numFmtId="0" fontId="7" fillId="0" borderId="1" xfId="19" applyFont="1" applyFill="1" applyBorder="1" applyAlignment="1">
      <alignment vertical="center" wrapText="1"/>
    </xf>
    <xf numFmtId="0" fontId="7" fillId="0" borderId="1" xfId="19" applyFont="1" applyFill="1" applyBorder="1" applyAlignment="1">
      <alignment horizontal="center" vertical="top" wrapText="1"/>
    </xf>
    <xf numFmtId="0" fontId="64" fillId="0" borderId="1" xfId="2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left" vertical="center" wrapText="1"/>
    </xf>
    <xf numFmtId="49" fontId="2" fillId="0" borderId="1" xfId="19" applyNumberFormat="1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left" vertical="center" wrapText="1"/>
    </xf>
    <xf numFmtId="2" fontId="41" fillId="0" borderId="1" xfId="2" applyNumberFormat="1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18" fillId="0" borderId="1" xfId="19" applyFont="1" applyFill="1" applyBorder="1" applyAlignment="1">
      <alignment horizontal="center" vertical="center" wrapText="1"/>
    </xf>
    <xf numFmtId="0" fontId="18" fillId="0" borderId="1" xfId="19" applyFont="1" applyFill="1" applyBorder="1" applyAlignment="1">
      <alignment horizontal="left" vertical="center" wrapText="1"/>
    </xf>
    <xf numFmtId="49" fontId="9" fillId="11" borderId="1" xfId="2" applyNumberFormat="1" applyFont="1" applyFill="1" applyBorder="1" applyAlignment="1">
      <alignment horizontal="left" vertical="center"/>
    </xf>
    <xf numFmtId="0" fontId="13" fillId="11" borderId="1" xfId="2" applyFont="1" applyFill="1" applyBorder="1" applyAlignment="1">
      <alignment vertical="center" wrapText="1"/>
    </xf>
    <xf numFmtId="3" fontId="9" fillId="11" borderId="1" xfId="19" quotePrefix="1" applyNumberFormat="1" applyFont="1" applyFill="1" applyBorder="1" applyAlignment="1">
      <alignment horizontal="center" vertical="center"/>
    </xf>
    <xf numFmtId="3" fontId="9" fillId="11" borderId="1" xfId="2" quotePrefix="1" applyNumberFormat="1" applyFont="1" applyFill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 wrapText="1"/>
    </xf>
    <xf numFmtId="49" fontId="7" fillId="11" borderId="1" xfId="19" applyNumberFormat="1" applyFont="1" applyFill="1" applyBorder="1" applyAlignment="1">
      <alignment horizontal="center" vertical="center"/>
    </xf>
    <xf numFmtId="0" fontId="7" fillId="11" borderId="1" xfId="19" applyFont="1" applyFill="1" applyBorder="1" applyAlignment="1">
      <alignment vertical="center" wrapText="1"/>
    </xf>
    <xf numFmtId="3" fontId="65" fillId="11" borderId="1" xfId="19" applyNumberFormat="1" applyFont="1" applyFill="1" applyBorder="1" applyAlignment="1">
      <alignment horizontal="center" vertical="center"/>
    </xf>
    <xf numFmtId="0" fontId="7" fillId="11" borderId="1" xfId="19" applyFont="1" applyFill="1" applyBorder="1" applyAlignment="1">
      <alignment horizontal="center" vertical="top" wrapText="1"/>
    </xf>
    <xf numFmtId="0" fontId="7" fillId="11" borderId="1" xfId="19" applyFont="1" applyFill="1" applyBorder="1" applyAlignment="1">
      <alignment horizontal="left" vertical="center" wrapText="1"/>
    </xf>
    <xf numFmtId="3" fontId="4" fillId="11" borderId="1" xfId="19" applyNumberFormat="1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left" vertical="center" wrapText="1"/>
    </xf>
    <xf numFmtId="3" fontId="2" fillId="11" borderId="1" xfId="19" quotePrefix="1" applyNumberFormat="1" applyFont="1" applyFill="1" applyBorder="1" applyAlignment="1">
      <alignment horizontal="center" vertical="center"/>
    </xf>
    <xf numFmtId="0" fontId="7" fillId="11" borderId="1" xfId="19" applyFont="1" applyFill="1" applyBorder="1" applyAlignment="1">
      <alignment horizontal="center" vertical="center" wrapText="1"/>
    </xf>
    <xf numFmtId="0" fontId="66" fillId="11" borderId="1" xfId="19" applyFont="1" applyFill="1" applyBorder="1" applyAlignment="1">
      <alignment horizontal="left" vertical="center" wrapText="1"/>
    </xf>
    <xf numFmtId="3" fontId="9" fillId="11" borderId="1" xfId="19" applyNumberFormat="1" applyFont="1" applyFill="1" applyBorder="1"/>
    <xf numFmtId="3" fontId="65" fillId="11" borderId="1" xfId="19" applyNumberFormat="1" applyFont="1" applyFill="1" applyBorder="1" applyAlignment="1">
      <alignment horizontal="centerContinuous" vertical="center"/>
    </xf>
    <xf numFmtId="3" fontId="65" fillId="11" borderId="1" xfId="2" applyNumberFormat="1" applyFont="1" applyFill="1" applyBorder="1" applyAlignment="1">
      <alignment horizontal="center" vertical="center"/>
    </xf>
    <xf numFmtId="3" fontId="4" fillId="11" borderId="1" xfId="2" applyNumberFormat="1" applyFont="1" applyFill="1" applyBorder="1" applyAlignment="1">
      <alignment horizontal="center" vertical="center"/>
    </xf>
    <xf numFmtId="3" fontId="65" fillId="11" borderId="1" xfId="2" applyNumberFormat="1" applyFont="1" applyFill="1" applyBorder="1" applyAlignment="1">
      <alignment vertical="center"/>
    </xf>
    <xf numFmtId="3" fontId="65" fillId="11" borderId="1" xfId="2" applyNumberFormat="1" applyFont="1" applyFill="1" applyBorder="1" applyAlignment="1">
      <alignment horizontal="centerContinuous" vertical="center"/>
    </xf>
    <xf numFmtId="167" fontId="65" fillId="11" borderId="1" xfId="2" applyNumberFormat="1" applyFont="1" applyFill="1" applyBorder="1" applyAlignment="1">
      <alignment horizontal="centerContinuous" vertical="center"/>
    </xf>
    <xf numFmtId="0" fontId="67" fillId="0" borderId="1" xfId="19" applyFont="1" applyFill="1" applyBorder="1" applyAlignment="1">
      <alignment horizontal="left" vertical="center" wrapText="1"/>
    </xf>
    <xf numFmtId="3" fontId="2" fillId="11" borderId="1" xfId="19" quotePrefix="1" applyNumberFormat="1" applyFont="1" applyFill="1" applyBorder="1" applyAlignment="1">
      <alignment horizontal="center" vertical="center" wrapText="1"/>
    </xf>
    <xf numFmtId="4" fontId="65" fillId="11" borderId="1" xfId="2" applyNumberFormat="1" applyFont="1" applyFill="1" applyBorder="1" applyAlignment="1">
      <alignment horizontal="centerContinuous" vertical="center"/>
    </xf>
    <xf numFmtId="2" fontId="65" fillId="11" borderId="1" xfId="2" applyNumberFormat="1" applyFont="1" applyFill="1" applyBorder="1" applyAlignment="1">
      <alignment horizontal="centerContinuous" vertical="center"/>
    </xf>
    <xf numFmtId="0" fontId="9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3" fontId="24" fillId="11" borderId="1" xfId="19" applyNumberFormat="1" applyFont="1" applyFill="1" applyBorder="1" applyAlignment="1">
      <alignment horizontal="center" vertical="center" wrapText="1"/>
    </xf>
    <xf numFmtId="3" fontId="24" fillId="11" borderId="1" xfId="2" applyNumberFormat="1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left" vertical="center" wrapText="1"/>
    </xf>
    <xf numFmtId="167" fontId="65" fillId="11" borderId="1" xfId="2" applyNumberFormat="1" applyFont="1" applyFill="1" applyBorder="1" applyAlignment="1">
      <alignment horizontal="center" vertical="center"/>
    </xf>
    <xf numFmtId="4" fontId="65" fillId="11" borderId="1" xfId="2" applyNumberFormat="1" applyFont="1" applyFill="1" applyBorder="1" applyAlignment="1">
      <alignment horizontal="center" vertical="center"/>
    </xf>
    <xf numFmtId="2" fontId="65" fillId="11" borderId="1" xfId="2" applyNumberFormat="1" applyFont="1" applyFill="1" applyBorder="1" applyAlignment="1">
      <alignment horizontal="center" vertical="center"/>
    </xf>
    <xf numFmtId="0" fontId="7" fillId="0" borderId="1" xfId="19" applyFont="1" applyBorder="1" applyAlignment="1">
      <alignment horizontal="center" vertical="center" wrapText="1"/>
    </xf>
    <xf numFmtId="0" fontId="7" fillId="0" borderId="1" xfId="19" applyFont="1" applyBorder="1" applyAlignment="1">
      <alignment horizontal="left" vertical="center" wrapText="1"/>
    </xf>
    <xf numFmtId="165" fontId="36" fillId="6" borderId="49" xfId="10" applyNumberFormat="1" applyFont="1" applyFill="1" applyBorder="1" applyAlignment="1" applyProtection="1">
      <alignment horizontal="right" vertical="center"/>
    </xf>
    <xf numFmtId="3" fontId="65" fillId="11" borderId="1" xfId="2" applyNumberFormat="1" applyFont="1" applyFill="1" applyBorder="1" applyAlignment="1">
      <alignment horizontal="right" vertical="center"/>
    </xf>
    <xf numFmtId="49" fontId="32" fillId="0" borderId="1" xfId="3" applyNumberFormat="1" applyFont="1" applyFill="1" applyBorder="1" applyAlignment="1">
      <alignment horizontal="left" vertical="center"/>
    </xf>
    <xf numFmtId="0" fontId="32" fillId="0" borderId="12" xfId="3" quotePrefix="1" applyFont="1" applyFill="1" applyBorder="1" applyAlignment="1">
      <alignment horizontal="left" vertical="center" wrapText="1"/>
    </xf>
    <xf numFmtId="3" fontId="9" fillId="11" borderId="1" xfId="19" applyNumberFormat="1" applyFont="1" applyFill="1" applyBorder="1" applyAlignment="1">
      <alignment vertical="center"/>
    </xf>
    <xf numFmtId="0" fontId="32" fillId="11" borderId="1" xfId="3" quotePrefix="1" applyFont="1" applyFill="1" applyBorder="1" applyAlignment="1">
      <alignment horizontal="center" vertical="center"/>
    </xf>
    <xf numFmtId="2" fontId="32" fillId="0" borderId="12" xfId="3" quotePrefix="1" applyNumberFormat="1" applyFont="1" applyFill="1" applyBorder="1" applyAlignment="1">
      <alignment horizontal="center" vertical="center"/>
    </xf>
    <xf numFmtId="0" fontId="32" fillId="0" borderId="12" xfId="3" quotePrefix="1" applyFont="1" applyFill="1" applyBorder="1" applyAlignment="1">
      <alignment horizontal="center" vertical="center"/>
    </xf>
    <xf numFmtId="0" fontId="32" fillId="11" borderId="12" xfId="3" quotePrefix="1" applyFont="1" applyFill="1" applyBorder="1" applyAlignment="1">
      <alignment horizontal="center" vertical="center"/>
    </xf>
    <xf numFmtId="0" fontId="32" fillId="0" borderId="16" xfId="3" applyFont="1" applyFill="1" applyBorder="1" applyAlignment="1">
      <alignment vertical="center"/>
    </xf>
    <xf numFmtId="0" fontId="32" fillId="0" borderId="12" xfId="3" applyFont="1" applyFill="1" applyBorder="1" applyAlignment="1">
      <alignment vertical="center"/>
    </xf>
    <xf numFmtId="3" fontId="69" fillId="11" borderId="1" xfId="19" quotePrefix="1" applyNumberFormat="1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vertical="center" wrapText="1"/>
    </xf>
    <xf numFmtId="3" fontId="24" fillId="11" borderId="1" xfId="3" applyNumberFormat="1" applyFont="1" applyFill="1" applyBorder="1" applyAlignment="1">
      <alignment horizontal="center" vertical="center" wrapText="1"/>
    </xf>
    <xf numFmtId="4" fontId="24" fillId="11" borderId="1" xfId="3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3" fontId="71" fillId="11" borderId="1" xfId="19" applyNumberFormat="1" applyFont="1" applyFill="1" applyBorder="1" applyAlignment="1">
      <alignment horizontal="centerContinuous" vertical="center"/>
    </xf>
    <xf numFmtId="3" fontId="71" fillId="11" borderId="1" xfId="2" applyNumberFormat="1" applyFont="1" applyFill="1" applyBorder="1" applyAlignment="1">
      <alignment horizontal="centerContinuous" vertical="center"/>
    </xf>
    <xf numFmtId="4" fontId="71" fillId="11" borderId="1" xfId="2" applyNumberFormat="1" applyFont="1" applyFill="1" applyBorder="1" applyAlignment="1">
      <alignment horizontal="centerContinuous" vertical="center"/>
    </xf>
    <xf numFmtId="2" fontId="71" fillId="11" borderId="1" xfId="2" applyNumberFormat="1" applyFont="1" applyFill="1" applyBorder="1" applyAlignment="1">
      <alignment horizontal="centerContinuous" vertic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3" fontId="4" fillId="11" borderId="1" xfId="19" applyNumberFormat="1" applyFont="1" applyFill="1" applyBorder="1" applyAlignment="1">
      <alignment horizontal="centerContinuous" vertical="center"/>
    </xf>
    <xf numFmtId="0" fontId="7" fillId="0" borderId="1" xfId="2" applyFont="1" applyFill="1" applyBorder="1" applyAlignment="1">
      <alignment horizontal="center" vertical="center"/>
    </xf>
    <xf numFmtId="0" fontId="9" fillId="11" borderId="1" xfId="3" quotePrefix="1" applyFont="1" applyFill="1" applyBorder="1" applyAlignment="1">
      <alignment horizontal="center" vertical="center"/>
    </xf>
    <xf numFmtId="0" fontId="41" fillId="11" borderId="1" xfId="2" applyFont="1" applyFill="1" applyBorder="1"/>
    <xf numFmtId="2" fontId="60" fillId="11" borderId="1" xfId="3" applyNumberFormat="1" applyFont="1" applyFill="1" applyBorder="1" applyAlignment="1">
      <alignment horizontal="center" vertical="center" wrapText="1"/>
    </xf>
    <xf numFmtId="2" fontId="41" fillId="11" borderId="1" xfId="2" applyNumberFormat="1" applyFont="1" applyFill="1" applyBorder="1"/>
    <xf numFmtId="3" fontId="41" fillId="11" borderId="1" xfId="2" applyNumberFormat="1" applyFont="1" applyFill="1" applyBorder="1"/>
    <xf numFmtId="3" fontId="41" fillId="0" borderId="1" xfId="2" applyNumberFormat="1" applyFont="1" applyBorder="1"/>
    <xf numFmtId="0" fontId="57" fillId="11" borderId="1" xfId="3" applyFont="1" applyFill="1" applyBorder="1"/>
    <xf numFmtId="2" fontId="72" fillId="0" borderId="1" xfId="2" applyNumberFormat="1" applyFont="1" applyBorder="1"/>
    <xf numFmtId="49" fontId="18" fillId="0" borderId="1" xfId="19" applyNumberFormat="1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vertical="center" wrapText="1"/>
    </xf>
    <xf numFmtId="3" fontId="18" fillId="11" borderId="1" xfId="19" quotePrefix="1" applyNumberFormat="1" applyFont="1" applyFill="1" applyBorder="1" applyAlignment="1">
      <alignment horizontal="center" vertical="center"/>
    </xf>
    <xf numFmtId="49" fontId="18" fillId="0" borderId="1" xfId="20" applyNumberFormat="1" applyFont="1" applyFill="1" applyBorder="1" applyAlignment="1">
      <alignment horizontal="center" vertical="center"/>
    </xf>
    <xf numFmtId="0" fontId="18" fillId="0" borderId="1" xfId="20" applyFont="1" applyFill="1" applyBorder="1" applyAlignment="1">
      <alignment vertical="center" wrapText="1"/>
    </xf>
    <xf numFmtId="3" fontId="73" fillId="11" borderId="1" xfId="19" quotePrefix="1" applyNumberFormat="1" applyFont="1" applyFill="1" applyBorder="1" applyAlignment="1">
      <alignment horizontal="center" vertical="center"/>
    </xf>
    <xf numFmtId="3" fontId="24" fillId="11" borderId="1" xfId="19" quotePrefix="1" applyNumberFormat="1" applyFont="1" applyFill="1" applyBorder="1" applyAlignment="1">
      <alignment horizontal="center" vertical="center"/>
    </xf>
    <xf numFmtId="4" fontId="24" fillId="11" borderId="1" xfId="19" quotePrefix="1" applyNumberFormat="1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/>
    </xf>
    <xf numFmtId="3" fontId="4" fillId="11" borderId="1" xfId="19" quotePrefix="1" applyNumberFormat="1" applyFont="1" applyFill="1" applyBorder="1" applyAlignment="1">
      <alignment horizontal="center" vertical="center"/>
    </xf>
    <xf numFmtId="3" fontId="9" fillId="11" borderId="1" xfId="19" applyNumberFormat="1" applyFont="1" applyFill="1" applyBorder="1" applyAlignment="1">
      <alignment horizontal="centerContinuous" vertical="center"/>
    </xf>
    <xf numFmtId="2" fontId="0" fillId="0" borderId="0" xfId="0" applyNumberFormat="1"/>
    <xf numFmtId="165" fontId="36" fillId="6" borderId="31" xfId="10" applyNumberFormat="1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5" fillId="10" borderId="5" xfId="14" applyNumberFormat="1" applyFont="1" applyFill="1" applyBorder="1" applyAlignment="1">
      <alignment horizontal="right" vertical="center"/>
    </xf>
    <xf numFmtId="165" fontId="36" fillId="6" borderId="33" xfId="1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56" fillId="11" borderId="1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0" fontId="56" fillId="10" borderId="1" xfId="0" quotePrefix="1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vertical="center"/>
    </xf>
    <xf numFmtId="0" fontId="0" fillId="0" borderId="0" xfId="0" applyAlignment="1"/>
    <xf numFmtId="0" fontId="0" fillId="0" borderId="52" xfId="21" applyFont="1" applyFill="1" applyBorder="1" applyAlignment="1">
      <alignment horizontal="center" vertical="center" wrapText="1"/>
    </xf>
    <xf numFmtId="0" fontId="0" fillId="0" borderId="52" xfId="21" applyFont="1" applyFill="1" applyBorder="1" applyAlignment="1">
      <alignment horizontal="left" vertical="center" wrapText="1"/>
    </xf>
    <xf numFmtId="0" fontId="30" fillId="0" borderId="52" xfId="21" applyFont="1" applyFill="1" applyBorder="1" applyAlignment="1">
      <alignment horizontal="center" wrapText="1"/>
    </xf>
    <xf numFmtId="0" fontId="0" fillId="11" borderId="52" xfId="21" applyFont="1" applyFill="1" applyBorder="1" applyAlignment="1">
      <alignment horizontal="center" vertical="center" wrapText="1"/>
    </xf>
    <xf numFmtId="0" fontId="30" fillId="11" borderId="52" xfId="2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3" fontId="24" fillId="11" borderId="1" xfId="0" applyNumberFormat="1" applyFont="1" applyFill="1" applyBorder="1" applyAlignment="1">
      <alignment horizontal="center" vertical="center" wrapText="1"/>
    </xf>
    <xf numFmtId="10" fontId="24" fillId="11" borderId="1" xfId="0" applyNumberFormat="1" applyFont="1" applyFill="1" applyBorder="1" applyAlignment="1">
      <alignment horizontal="center" vertical="center" wrapText="1"/>
    </xf>
    <xf numFmtId="3" fontId="24" fillId="11" borderId="1" xfId="21" applyNumberFormat="1" applyFont="1" applyFill="1" applyBorder="1" applyAlignment="1">
      <alignment horizontal="center" wrapText="1"/>
    </xf>
    <xf numFmtId="0" fontId="9" fillId="11" borderId="1" xfId="22" applyFont="1" applyFill="1" applyBorder="1" applyAlignment="1">
      <alignment vertical="center"/>
    </xf>
    <xf numFmtId="0" fontId="64" fillId="11" borderId="20" xfId="22" applyFont="1" applyFill="1" applyBorder="1" applyAlignment="1">
      <alignment vertical="center" wrapText="1"/>
    </xf>
    <xf numFmtId="0" fontId="9" fillId="11" borderId="12" xfId="22" applyFont="1" applyFill="1" applyBorder="1" applyAlignment="1">
      <alignment vertical="center" wrapText="1"/>
    </xf>
    <xf numFmtId="3" fontId="13" fillId="11" borderId="1" xfId="19" applyNumberFormat="1" applyFont="1" applyFill="1" applyBorder="1" applyAlignment="1">
      <alignment horizontal="center" vertical="center"/>
    </xf>
    <xf numFmtId="10" fontId="13" fillId="11" borderId="1" xfId="19" applyNumberFormat="1" applyFont="1" applyFill="1" applyBorder="1" applyAlignment="1">
      <alignment horizontal="center" vertical="center"/>
    </xf>
    <xf numFmtId="3" fontId="7" fillId="11" borderId="1" xfId="22" applyNumberFormat="1" applyFont="1" applyFill="1" applyBorder="1" applyAlignment="1">
      <alignment horizontal="center" vertical="center"/>
    </xf>
    <xf numFmtId="3" fontId="57" fillId="11" borderId="1" xfId="0" applyNumberFormat="1" applyFont="1" applyFill="1" applyBorder="1"/>
    <xf numFmtId="10" fontId="57" fillId="0" borderId="1" xfId="0" applyNumberFormat="1" applyFont="1" applyBorder="1"/>
    <xf numFmtId="16" fontId="9" fillId="11" borderId="1" xfId="22" applyNumberFormat="1" applyFont="1" applyFill="1" applyBorder="1" applyAlignment="1">
      <alignment vertical="center"/>
    </xf>
    <xf numFmtId="16" fontId="9" fillId="11" borderId="12" xfId="22" quotePrefix="1" applyNumberFormat="1" applyFont="1" applyFill="1" applyBorder="1" applyAlignment="1">
      <alignment vertical="center" wrapText="1"/>
    </xf>
    <xf numFmtId="3" fontId="21" fillId="11" borderId="1" xfId="22" applyNumberFormat="1" applyFont="1" applyFill="1" applyBorder="1" applyAlignment="1">
      <alignment horizontal="center" vertical="center"/>
    </xf>
    <xf numFmtId="0" fontId="7" fillId="11" borderId="11" xfId="4" applyFont="1" applyFill="1" applyBorder="1" applyAlignment="1">
      <alignment horizontal="center" vertical="center" wrapText="1"/>
    </xf>
    <xf numFmtId="0" fontId="7" fillId="11" borderId="35" xfId="4" applyFont="1" applyFill="1" applyBorder="1" applyAlignment="1">
      <alignment horizontal="left" vertical="top" wrapText="1"/>
    </xf>
    <xf numFmtId="3" fontId="7" fillId="11" borderId="1" xfId="19" applyNumberFormat="1" applyFont="1" applyFill="1" applyBorder="1" applyAlignment="1">
      <alignment horizontal="center" vertical="center"/>
    </xf>
    <xf numFmtId="0" fontId="7" fillId="11" borderId="1" xfId="4" applyFont="1" applyFill="1" applyBorder="1" applyAlignment="1">
      <alignment horizontal="center" vertical="center" wrapText="1"/>
    </xf>
    <xf numFmtId="0" fontId="7" fillId="11" borderId="16" xfId="4" applyFont="1" applyFill="1" applyBorder="1" applyAlignment="1">
      <alignment horizontal="left" vertical="top" wrapText="1"/>
    </xf>
    <xf numFmtId="0" fontId="7" fillId="11" borderId="1" xfId="4" applyFont="1" applyFill="1" applyBorder="1" applyAlignment="1">
      <alignment horizontal="center" vertical="top" wrapText="1"/>
    </xf>
    <xf numFmtId="0" fontId="7" fillId="11" borderId="22" xfId="4" applyFont="1" applyFill="1" applyBorder="1" applyAlignment="1">
      <alignment horizontal="left" vertical="top" wrapText="1"/>
    </xf>
    <xf numFmtId="0" fontId="7" fillId="11" borderId="0" xfId="4" applyFont="1" applyFill="1" applyBorder="1" applyAlignment="1">
      <alignment horizontal="left" vertical="top" wrapText="1"/>
    </xf>
    <xf numFmtId="0" fontId="7" fillId="11" borderId="1" xfId="4" applyFont="1" applyFill="1" applyBorder="1" applyAlignment="1">
      <alignment horizontal="left" vertical="center" wrapText="1"/>
    </xf>
    <xf numFmtId="0" fontId="7" fillId="11" borderId="1" xfId="4" applyFont="1" applyFill="1" applyBorder="1" applyAlignment="1">
      <alignment horizontal="left" vertical="top" wrapText="1"/>
    </xf>
    <xf numFmtId="0" fontId="2" fillId="11" borderId="1" xfId="4" applyFont="1" applyFill="1" applyBorder="1" applyAlignment="1">
      <alignment horizontal="center" vertical="center" wrapText="1"/>
    </xf>
    <xf numFmtId="0" fontId="2" fillId="11" borderId="1" xfId="4" applyFont="1" applyFill="1" applyBorder="1" applyAlignment="1">
      <alignment horizontal="left" vertical="top" wrapText="1"/>
    </xf>
    <xf numFmtId="16" fontId="9" fillId="11" borderId="16" xfId="22" quotePrefix="1" applyNumberFormat="1" applyFont="1" applyFill="1" applyBorder="1" applyAlignment="1">
      <alignment vertical="center"/>
    </xf>
    <xf numFmtId="3" fontId="9" fillId="11" borderId="1" xfId="22" applyNumberFormat="1" applyFont="1" applyFill="1" applyBorder="1" applyAlignment="1">
      <alignment horizontal="center" vertical="center"/>
    </xf>
    <xf numFmtId="16" fontId="9" fillId="11" borderId="1" xfId="22" quotePrefix="1" applyNumberFormat="1" applyFont="1" applyFill="1" applyBorder="1" applyAlignment="1">
      <alignment horizontal="center" vertical="center"/>
    </xf>
    <xf numFmtId="0" fontId="9" fillId="11" borderId="12" xfId="22" applyFont="1" applyFill="1" applyBorder="1" applyAlignment="1">
      <alignment horizontal="left" vertical="center" wrapText="1"/>
    </xf>
    <xf numFmtId="0" fontId="7" fillId="11" borderId="1" xfId="22" applyFont="1" applyFill="1" applyBorder="1" applyAlignment="1">
      <alignment vertical="center"/>
    </xf>
    <xf numFmtId="0" fontId="64" fillId="11" borderId="1" xfId="22" applyFont="1" applyFill="1" applyBorder="1" applyAlignment="1">
      <alignment vertical="center" wrapText="1"/>
    </xf>
    <xf numFmtId="0" fontId="57" fillId="11" borderId="0" xfId="0" applyFont="1" applyFill="1"/>
    <xf numFmtId="10" fontId="57" fillId="0" borderId="0" xfId="0" applyNumberFormat="1" applyFont="1"/>
    <xf numFmtId="0" fontId="13" fillId="11" borderId="1" xfId="22" applyFont="1" applyFill="1" applyBorder="1" applyAlignment="1">
      <alignment vertical="center"/>
    </xf>
    <xf numFmtId="0" fontId="9" fillId="11" borderId="16" xfId="22" applyFont="1" applyFill="1" applyBorder="1" applyAlignment="1">
      <alignment vertical="center" wrapText="1"/>
    </xf>
    <xf numFmtId="3" fontId="13" fillId="11" borderId="17" xfId="19" applyNumberFormat="1" applyFont="1" applyFill="1" applyBorder="1" applyAlignment="1">
      <alignment horizontal="center" vertical="center"/>
    </xf>
    <xf numFmtId="10" fontId="13" fillId="11" borderId="17" xfId="19" applyNumberFormat="1" applyFont="1" applyFill="1" applyBorder="1" applyAlignment="1">
      <alignment horizontal="center" vertical="center"/>
    </xf>
    <xf numFmtId="3" fontId="49" fillId="11" borderId="1" xfId="0" applyNumberFormat="1" applyFont="1" applyFill="1" applyBorder="1" applyAlignment="1">
      <alignment horizontal="center"/>
    </xf>
    <xf numFmtId="0" fontId="7" fillId="11" borderId="0" xfId="22" applyFont="1" applyFill="1" applyAlignment="1">
      <alignment vertical="center"/>
    </xf>
    <xf numFmtId="16" fontId="9" fillId="11" borderId="16" xfId="22" applyNumberFormat="1" applyFont="1" applyFill="1" applyBorder="1" applyAlignment="1">
      <alignment vertical="center" wrapText="1"/>
    </xf>
    <xf numFmtId="0" fontId="2" fillId="11" borderId="35" xfId="4" applyFont="1" applyFill="1" applyBorder="1" applyAlignment="1">
      <alignment horizontal="left" vertical="top" wrapText="1"/>
    </xf>
    <xf numFmtId="3" fontId="7" fillId="11" borderId="11" xfId="19" applyNumberFormat="1" applyFont="1" applyFill="1" applyBorder="1" applyAlignment="1">
      <alignment horizontal="center" vertical="center"/>
    </xf>
    <xf numFmtId="3" fontId="7" fillId="11" borderId="6" xfId="19" applyNumberFormat="1" applyFont="1" applyFill="1" applyBorder="1" applyAlignment="1">
      <alignment horizontal="center" vertical="center"/>
    </xf>
    <xf numFmtId="0" fontId="2" fillId="11" borderId="16" xfId="4" applyFont="1" applyFill="1" applyBorder="1" applyAlignment="1">
      <alignment horizontal="left" vertical="top" wrapText="1"/>
    </xf>
    <xf numFmtId="3" fontId="7" fillId="11" borderId="17" xfId="19" applyNumberFormat="1" applyFont="1" applyFill="1" applyBorder="1" applyAlignment="1">
      <alignment horizontal="center" vertical="center"/>
    </xf>
    <xf numFmtId="16" fontId="9" fillId="11" borderId="16" xfId="22" quotePrefix="1" applyNumberFormat="1" applyFont="1" applyFill="1" applyBorder="1" applyAlignment="1">
      <alignment vertical="center" wrapText="1"/>
    </xf>
    <xf numFmtId="0" fontId="9" fillId="11" borderId="17" xfId="22" applyFont="1" applyFill="1" applyBorder="1" applyAlignment="1">
      <alignment horizontal="center" vertical="center"/>
    </xf>
    <xf numFmtId="49" fontId="9" fillId="11" borderId="1" xfId="22" applyNumberFormat="1" applyFont="1" applyFill="1" applyBorder="1" applyAlignment="1">
      <alignment horizontal="center" vertical="center"/>
    </xf>
    <xf numFmtId="0" fontId="9" fillId="11" borderId="1" xfId="22" applyFont="1" applyFill="1" applyBorder="1" applyAlignment="1">
      <alignment horizontal="left" vertical="center" wrapText="1"/>
    </xf>
    <xf numFmtId="0" fontId="7" fillId="11" borderId="11" xfId="22" applyFont="1" applyFill="1" applyBorder="1" applyAlignment="1">
      <alignment vertical="center"/>
    </xf>
    <xf numFmtId="0" fontId="64" fillId="11" borderId="35" xfId="22" applyFont="1" applyFill="1" applyBorder="1" applyAlignment="1">
      <alignment vertical="center" wrapText="1"/>
    </xf>
    <xf numFmtId="3" fontId="49" fillId="11" borderId="16" xfId="0" applyNumberFormat="1" applyFont="1" applyFill="1" applyBorder="1" applyAlignment="1">
      <alignment horizontal="center"/>
    </xf>
    <xf numFmtId="3" fontId="21" fillId="11" borderId="16" xfId="22" applyNumberFormat="1" applyFont="1" applyFill="1" applyBorder="1" applyAlignment="1">
      <alignment horizontal="center" vertical="center"/>
    </xf>
    <xf numFmtId="0" fontId="9" fillId="11" borderId="1" xfId="22" applyFont="1" applyFill="1" applyBorder="1" applyAlignment="1">
      <alignment vertical="center" wrapText="1"/>
    </xf>
    <xf numFmtId="16" fontId="9" fillId="11" borderId="1" xfId="22" applyNumberFormat="1" applyFont="1" applyFill="1" applyBorder="1" applyAlignment="1">
      <alignment vertical="center" wrapText="1"/>
    </xf>
    <xf numFmtId="0" fontId="7" fillId="11" borderId="11" xfId="4" applyFont="1" applyFill="1" applyBorder="1" applyAlignment="1">
      <alignment horizontal="left" vertical="top" wrapText="1"/>
    </xf>
    <xf numFmtId="0" fontId="7" fillId="11" borderId="17" xfId="4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horizontal="left" vertical="top" wrapText="1"/>
    </xf>
    <xf numFmtId="0" fontId="7" fillId="11" borderId="15" xfId="4" applyFont="1" applyFill="1" applyBorder="1" applyAlignment="1">
      <alignment horizontal="left" vertical="center" wrapText="1"/>
    </xf>
    <xf numFmtId="0" fontId="64" fillId="11" borderId="1" xfId="22" applyFont="1" applyFill="1" applyBorder="1" applyAlignment="1">
      <alignment vertical="center"/>
    </xf>
    <xf numFmtId="0" fontId="21" fillId="11" borderId="1" xfId="22" applyFont="1" applyFill="1" applyBorder="1" applyAlignment="1">
      <alignment horizontal="center" vertical="center"/>
    </xf>
    <xf numFmtId="10" fontId="21" fillId="11" borderId="1" xfId="22" applyNumberFormat="1" applyFont="1" applyFill="1" applyBorder="1" applyAlignment="1">
      <alignment horizontal="center" vertical="center"/>
    </xf>
    <xf numFmtId="0" fontId="7" fillId="11" borderId="1" xfId="22" applyFont="1" applyFill="1" applyBorder="1" applyAlignment="1">
      <alignment horizontal="center" vertical="center"/>
    </xf>
    <xf numFmtId="0" fontId="57" fillId="11" borderId="1" xfId="0" applyFont="1" applyFill="1" applyBorder="1"/>
    <xf numFmtId="16" fontId="9" fillId="11" borderId="1" xfId="22" quotePrefix="1" applyNumberFormat="1" applyFont="1" applyFill="1" applyBorder="1" applyAlignment="1">
      <alignment vertical="center" wrapText="1"/>
    </xf>
    <xf numFmtId="16" fontId="9" fillId="10" borderId="12" xfId="22" quotePrefix="1" applyNumberFormat="1" applyFont="1" applyFill="1" applyBorder="1" applyAlignment="1">
      <alignment vertical="center" wrapText="1"/>
    </xf>
    <xf numFmtId="10" fontId="9" fillId="11" borderId="1" xfId="22" applyNumberFormat="1" applyFont="1" applyFill="1" applyBorder="1" applyAlignment="1">
      <alignment horizontal="center" vertical="center"/>
    </xf>
    <xf numFmtId="0" fontId="9" fillId="11" borderId="1" xfId="22" applyFont="1" applyFill="1" applyBorder="1" applyAlignment="1">
      <alignment horizontal="center" vertical="center"/>
    </xf>
    <xf numFmtId="16" fontId="9" fillId="11" borderId="1" xfId="22" applyNumberFormat="1" applyFont="1" applyFill="1" applyBorder="1" applyAlignment="1">
      <alignment horizontal="center" vertical="center"/>
    </xf>
    <xf numFmtId="0" fontId="9" fillId="10" borderId="1" xfId="22" applyFont="1" applyFill="1" applyBorder="1" applyAlignment="1">
      <alignment horizontal="left" vertical="center" wrapText="1"/>
    </xf>
    <xf numFmtId="49" fontId="9" fillId="11" borderId="17" xfId="22" applyNumberFormat="1" applyFont="1" applyFill="1" applyBorder="1" applyAlignment="1">
      <alignment horizontal="center" vertical="center"/>
    </xf>
    <xf numFmtId="0" fontId="9" fillId="10" borderId="17" xfId="22" applyFont="1" applyFill="1" applyBorder="1" applyAlignment="1">
      <alignment horizontal="left" vertical="center" wrapText="1"/>
    </xf>
    <xf numFmtId="3" fontId="9" fillId="11" borderId="17" xfId="22" applyNumberFormat="1" applyFont="1" applyFill="1" applyBorder="1" applyAlignment="1">
      <alignment horizontal="center" vertical="center"/>
    </xf>
    <xf numFmtId="0" fontId="7" fillId="11" borderId="17" xfId="22" applyFont="1" applyFill="1" applyBorder="1" applyAlignment="1">
      <alignment horizontal="center" vertical="center"/>
    </xf>
    <xf numFmtId="165" fontId="21" fillId="11" borderId="1" xfId="10" applyNumberFormat="1" applyFont="1" applyFill="1" applyBorder="1" applyAlignment="1" applyProtection="1">
      <alignment vertical="center"/>
    </xf>
    <xf numFmtId="165" fontId="21" fillId="6" borderId="1" xfId="10" applyNumberFormat="1" applyFont="1" applyFill="1" applyBorder="1" applyAlignment="1" applyProtection="1">
      <alignment vertical="center"/>
    </xf>
    <xf numFmtId="0" fontId="9" fillId="16" borderId="1" xfId="22" applyFont="1" applyFill="1" applyBorder="1" applyAlignment="1">
      <alignment vertical="center" wrapText="1"/>
    </xf>
    <xf numFmtId="16" fontId="9" fillId="16" borderId="1" xfId="22" applyNumberFormat="1" applyFont="1" applyFill="1" applyBorder="1" applyAlignment="1">
      <alignment vertical="center" wrapText="1"/>
    </xf>
    <xf numFmtId="0" fontId="9" fillId="0" borderId="1" xfId="22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/>
    </xf>
    <xf numFmtId="0" fontId="9" fillId="0" borderId="1" xfId="22" applyFont="1" applyBorder="1" applyAlignment="1">
      <alignment vertical="center" wrapText="1"/>
    </xf>
    <xf numFmtId="0" fontId="72" fillId="11" borderId="1" xfId="0" applyFont="1" applyFill="1" applyBorder="1" applyAlignment="1">
      <alignment horizontal="center"/>
    </xf>
    <xf numFmtId="10" fontId="72" fillId="11" borderId="1" xfId="0" applyNumberFormat="1" applyFont="1" applyFill="1" applyBorder="1" applyAlignment="1">
      <alignment horizontal="center"/>
    </xf>
    <xf numFmtId="0" fontId="9" fillId="0" borderId="1" xfId="22" applyFont="1" applyFill="1" applyBorder="1" applyAlignment="1">
      <alignment vertical="center" wrapText="1"/>
    </xf>
    <xf numFmtId="0" fontId="57" fillId="11" borderId="1" xfId="0" applyFont="1" applyFill="1" applyBorder="1" applyAlignment="1">
      <alignment horizontal="center"/>
    </xf>
    <xf numFmtId="10" fontId="57" fillId="11" borderId="1" xfId="0" applyNumberFormat="1" applyFont="1" applyFill="1" applyBorder="1" applyAlignment="1">
      <alignment horizontal="center"/>
    </xf>
    <xf numFmtId="0" fontId="9" fillId="0" borderId="1" xfId="22" applyFont="1" applyFill="1" applyBorder="1" applyAlignment="1">
      <alignment horizontal="left" vertical="center" wrapText="1"/>
    </xf>
    <xf numFmtId="3" fontId="21" fillId="11" borderId="23" xfId="22" applyNumberFormat="1" applyFont="1" applyFill="1" applyBorder="1" applyAlignment="1">
      <alignment horizontal="center" vertical="center"/>
    </xf>
    <xf numFmtId="10" fontId="21" fillId="11" borderId="23" xfId="22" applyNumberFormat="1" applyFont="1" applyFill="1" applyBorder="1" applyAlignment="1">
      <alignment horizontal="center" vertical="center"/>
    </xf>
    <xf numFmtId="0" fontId="9" fillId="11" borderId="0" xfId="22" applyFont="1" applyFill="1" applyAlignment="1">
      <alignment vertical="center"/>
    </xf>
    <xf numFmtId="0" fontId="9" fillId="11" borderId="0" xfId="22" applyFont="1" applyFill="1" applyAlignment="1">
      <alignment vertical="center" wrapText="1"/>
    </xf>
    <xf numFmtId="0" fontId="9" fillId="11" borderId="0" xfId="22" applyFont="1" applyFill="1" applyAlignment="1">
      <alignment horizontal="center" vertical="center"/>
    </xf>
    <xf numFmtId="10" fontId="9" fillId="11" borderId="0" xfId="22" applyNumberFormat="1" applyFont="1" applyFill="1" applyAlignment="1">
      <alignment horizontal="center" vertical="center"/>
    </xf>
    <xf numFmtId="3" fontId="9" fillId="11" borderId="0" xfId="22" applyNumberFormat="1" applyFont="1" applyFill="1" applyAlignment="1">
      <alignment horizontal="center" vertical="center"/>
    </xf>
    <xf numFmtId="10" fontId="9" fillId="11" borderId="0" xfId="22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10" fontId="0" fillId="0" borderId="0" xfId="0" applyNumberFormat="1"/>
    <xf numFmtId="0" fontId="24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0" fontId="24" fillId="0" borderId="2" xfId="0" applyNumberFormat="1" applyFont="1" applyFill="1" applyBorder="1" applyAlignment="1">
      <alignment horizontal="center" vertical="center" wrapText="1"/>
    </xf>
    <xf numFmtId="10" fontId="56" fillId="0" borderId="1" xfId="0" applyNumberFormat="1" applyFont="1" applyFill="1" applyBorder="1" applyAlignment="1">
      <alignment horizontal="right" vertical="center"/>
    </xf>
    <xf numFmtId="10" fontId="1" fillId="11" borderId="0" xfId="0" applyNumberFormat="1" applyFont="1" applyFill="1" applyAlignment="1">
      <alignment vertical="center"/>
    </xf>
    <xf numFmtId="10" fontId="1" fillId="0" borderId="0" xfId="0" applyNumberFormat="1" applyFont="1" applyFill="1" applyAlignment="1">
      <alignment horizontal="right" vertical="center"/>
    </xf>
    <xf numFmtId="10" fontId="0" fillId="0" borderId="1" xfId="0" applyNumberFormat="1" applyBorder="1"/>
    <xf numFmtId="3" fontId="1" fillId="11" borderId="0" xfId="0" applyNumberFormat="1" applyFont="1" applyFill="1" applyAlignment="1">
      <alignment vertical="center"/>
    </xf>
    <xf numFmtId="0" fontId="24" fillId="11" borderId="2" xfId="0" applyFont="1" applyFill="1" applyBorder="1" applyAlignment="1">
      <alignment horizontal="center" vertical="center" wrapText="1"/>
    </xf>
    <xf numFmtId="10" fontId="24" fillId="11" borderId="2" xfId="0" applyNumberFormat="1" applyFont="1" applyFill="1" applyBorder="1" applyAlignment="1">
      <alignment horizontal="center" vertical="center" wrapText="1"/>
    </xf>
    <xf numFmtId="3" fontId="24" fillId="11" borderId="2" xfId="0" applyNumberFormat="1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right" vertical="center"/>
    </xf>
    <xf numFmtId="10" fontId="56" fillId="11" borderId="1" xfId="0" applyNumberFormat="1" applyFont="1" applyFill="1" applyBorder="1" applyAlignment="1">
      <alignment horizontal="right" vertical="center"/>
    </xf>
    <xf numFmtId="3" fontId="56" fillId="11" borderId="1" xfId="0" applyNumberFormat="1" applyFont="1" applyFill="1" applyBorder="1" applyAlignment="1">
      <alignment horizontal="right" vertical="center"/>
    </xf>
    <xf numFmtId="0" fontId="56" fillId="11" borderId="1" xfId="0" applyFont="1" applyFill="1" applyBorder="1" applyAlignment="1">
      <alignment vertical="center"/>
    </xf>
    <xf numFmtId="3" fontId="56" fillId="11" borderId="1" xfId="0" applyNumberFormat="1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10" fontId="1" fillId="11" borderId="0" xfId="0" applyNumberFormat="1" applyFont="1" applyFill="1" applyBorder="1" applyAlignment="1">
      <alignment vertical="center"/>
    </xf>
    <xf numFmtId="3" fontId="1" fillId="11" borderId="0" xfId="0" applyNumberFormat="1" applyFont="1" applyFill="1" applyBorder="1" applyAlignment="1">
      <alignment vertical="center"/>
    </xf>
    <xf numFmtId="0" fontId="30" fillId="11" borderId="1" xfId="0" applyFont="1" applyFill="1" applyBorder="1"/>
    <xf numFmtId="0" fontId="33" fillId="11" borderId="1" xfId="0" applyFont="1" applyFill="1" applyBorder="1" applyAlignment="1">
      <alignment horizontal="center" vertical="center" wrapText="1"/>
    </xf>
    <xf numFmtId="0" fontId="30" fillId="11" borderId="0" xfId="0" applyFont="1" applyFill="1"/>
    <xf numFmtId="0" fontId="16" fillId="11" borderId="0" xfId="0" applyFont="1" applyFill="1"/>
    <xf numFmtId="0" fontId="33" fillId="1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3" fontId="24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3" fontId="24" fillId="11" borderId="1" xfId="17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vertical="center"/>
    </xf>
    <xf numFmtId="0" fontId="41" fillId="0" borderId="1" xfId="2" applyFont="1" applyBorder="1" applyAlignment="1">
      <alignment horizontal="center"/>
    </xf>
    <xf numFmtId="0" fontId="61" fillId="0" borderId="1" xfId="2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165" fontId="77" fillId="6" borderId="31" xfId="10" applyNumberFormat="1" applyFont="1" applyFill="1" applyBorder="1" applyProtection="1">
      <alignment vertical="center"/>
    </xf>
    <xf numFmtId="165" fontId="77" fillId="6" borderId="33" xfId="10" applyNumberFormat="1" applyFont="1" applyFill="1" applyBorder="1" applyAlignment="1" applyProtection="1">
      <alignment horizontal="right" vertical="center" wrapText="1"/>
    </xf>
    <xf numFmtId="3" fontId="24" fillId="11" borderId="17" xfId="0" applyNumberFormat="1" applyFont="1" applyFill="1" applyBorder="1" applyAlignment="1">
      <alignment horizontal="center" wrapText="1"/>
    </xf>
    <xf numFmtId="10" fontId="9" fillId="11" borderId="22" xfId="0" applyNumberFormat="1" applyFont="1" applyFill="1" applyBorder="1" applyAlignment="1">
      <alignment horizontal="center" wrapText="1"/>
    </xf>
    <xf numFmtId="3" fontId="24" fillId="11" borderId="17" xfId="0" applyNumberFormat="1" applyFont="1" applyFill="1" applyBorder="1" applyAlignment="1">
      <alignment horizontal="center" vertical="center" wrapText="1"/>
    </xf>
    <xf numFmtId="3" fontId="24" fillId="11" borderId="1" xfId="0" applyNumberFormat="1" applyFont="1" applyFill="1" applyBorder="1" applyAlignment="1">
      <alignment horizontal="center" wrapText="1"/>
    </xf>
    <xf numFmtId="10" fontId="9" fillId="11" borderId="1" xfId="0" applyNumberFormat="1" applyFont="1" applyFill="1" applyBorder="1" applyAlignment="1">
      <alignment horizontal="center" wrapText="1"/>
    </xf>
    <xf numFmtId="0" fontId="7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" fontId="4" fillId="11" borderId="1" xfId="0" applyNumberFormat="1" applyFont="1" applyFill="1" applyBorder="1" applyAlignment="1">
      <alignment horizontal="right" vertical="center" wrapText="1"/>
    </xf>
    <xf numFmtId="10" fontId="4" fillId="11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49" fontId="2" fillId="0" borderId="1" xfId="19" applyNumberFormat="1" applyFont="1" applyBorder="1" applyAlignment="1">
      <alignment horizontal="center" vertical="center"/>
    </xf>
    <xf numFmtId="49" fontId="2" fillId="0" borderId="1" xfId="19" applyNumberFormat="1" applyFont="1" applyFill="1" applyBorder="1" applyAlignment="1">
      <alignment wrapText="1"/>
    </xf>
    <xf numFmtId="3" fontId="2" fillId="11" borderId="1" xfId="0" quotePrefix="1" applyNumberFormat="1" applyFont="1" applyFill="1" applyBorder="1" applyAlignment="1">
      <alignment horizontal="right" vertical="center"/>
    </xf>
    <xf numFmtId="3" fontId="2" fillId="11" borderId="1" xfId="0" quotePrefix="1" applyNumberFormat="1" applyFont="1" applyFill="1" applyBorder="1" applyAlignment="1">
      <alignment horizontal="right" vertical="center" wrapText="1"/>
    </xf>
    <xf numFmtId="10" fontId="2" fillId="11" borderId="1" xfId="0" quotePrefix="1" applyNumberFormat="1" applyFont="1" applyFill="1" applyBorder="1" applyAlignment="1">
      <alignment horizontal="right" vertical="center" wrapText="1"/>
    </xf>
    <xf numFmtId="0" fontId="2" fillId="0" borderId="1" xfId="19" applyFont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left" vertical="top" wrapText="1"/>
    </xf>
    <xf numFmtId="10" fontId="2" fillId="11" borderId="1" xfId="0" quotePrefix="1" applyNumberFormat="1" applyFont="1" applyFill="1" applyBorder="1" applyAlignment="1">
      <alignment horizontal="right" vertical="center"/>
    </xf>
    <xf numFmtId="0" fontId="2" fillId="0" borderId="1" xfId="19" applyFont="1" applyFill="1" applyBorder="1" applyAlignment="1">
      <alignment horizontal="left" vertical="top" wrapText="1"/>
    </xf>
    <xf numFmtId="0" fontId="2" fillId="0" borderId="1" xfId="19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11" borderId="1" xfId="19" applyNumberFormat="1" applyFont="1" applyFill="1" applyBorder="1" applyAlignment="1">
      <alignment horizontal="center" vertical="center" wrapText="1"/>
    </xf>
    <xf numFmtId="49" fontId="2" fillId="11" borderId="1" xfId="19" applyNumberFormat="1" applyFont="1" applyFill="1" applyBorder="1" applyAlignment="1">
      <alignment wrapText="1"/>
    </xf>
    <xf numFmtId="0" fontId="0" fillId="11" borderId="0" xfId="0" applyFill="1"/>
    <xf numFmtId="49" fontId="2" fillId="0" borderId="1" xfId="19" applyNumberFormat="1" applyFont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0" borderId="1" xfId="19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19" applyFont="1" applyFill="1" applyBorder="1" applyAlignment="1">
      <alignment horizontal="left" wrapText="1"/>
    </xf>
    <xf numFmtId="3" fontId="72" fillId="0" borderId="1" xfId="0" applyNumberFormat="1" applyFont="1" applyBorder="1"/>
    <xf numFmtId="10" fontId="72" fillId="0" borderId="1" xfId="0" applyNumberFormat="1" applyFont="1" applyBorder="1"/>
    <xf numFmtId="0" fontId="7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19" applyFont="1" applyFill="1" applyBorder="1" applyAlignment="1">
      <alignment horizontal="left" vertical="top" wrapText="1"/>
    </xf>
    <xf numFmtId="3" fontId="18" fillId="11" borderId="1" xfId="0" quotePrefix="1" applyNumberFormat="1" applyFont="1" applyFill="1" applyBorder="1" applyAlignment="1">
      <alignment horizontal="right" vertical="center"/>
    </xf>
    <xf numFmtId="3" fontId="18" fillId="11" borderId="1" xfId="0" quotePrefix="1" applyNumberFormat="1" applyFont="1" applyFill="1" applyBorder="1" applyAlignment="1">
      <alignment horizontal="right" vertical="center" wrapText="1"/>
    </xf>
    <xf numFmtId="10" fontId="18" fillId="11" borderId="1" xfId="0" quotePrefix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0" fontId="18" fillId="11" borderId="1" xfId="0" quotePrefix="1" applyNumberFormat="1" applyFont="1" applyFill="1" applyBorder="1" applyAlignment="1">
      <alignment horizontal="right" vertical="center"/>
    </xf>
    <xf numFmtId="3" fontId="2" fillId="11" borderId="1" xfId="0" applyNumberFormat="1" applyFont="1" applyFill="1" applyBorder="1" applyAlignment="1">
      <alignment horizontal="right" vertical="center" wrapText="1"/>
    </xf>
    <xf numFmtId="0" fontId="2" fillId="11" borderId="1" xfId="19" applyFont="1" applyFill="1" applyBorder="1" applyAlignment="1">
      <alignment horizontal="center" vertical="center" wrapText="1"/>
    </xf>
    <xf numFmtId="0" fontId="2" fillId="11" borderId="1" xfId="19" applyFont="1" applyFill="1" applyBorder="1" applyAlignment="1">
      <alignment horizontal="left" vertical="top" wrapText="1"/>
    </xf>
    <xf numFmtId="3" fontId="2" fillId="11" borderId="1" xfId="0" applyNumberFormat="1" applyFont="1" applyFill="1" applyBorder="1" applyAlignment="1">
      <alignment horizontal="right" vertical="center"/>
    </xf>
    <xf numFmtId="10" fontId="2" fillId="11" borderId="1" xfId="0" applyNumberFormat="1" applyFont="1" applyFill="1" applyBorder="1" applyAlignment="1">
      <alignment horizontal="right" vertical="center"/>
    </xf>
    <xf numFmtId="0" fontId="72" fillId="11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81" fillId="11" borderId="1" xfId="0" quotePrefix="1" applyNumberFormat="1" applyFont="1" applyFill="1" applyBorder="1" applyAlignment="1">
      <alignment horizontal="right" vertical="center" wrapText="1"/>
    </xf>
    <xf numFmtId="165" fontId="25" fillId="11" borderId="31" xfId="10" applyNumberFormat="1" applyFont="1" applyFill="1" applyBorder="1" applyProtection="1">
      <alignment vertical="center"/>
    </xf>
    <xf numFmtId="165" fontId="25" fillId="11" borderId="33" xfId="10" applyNumberFormat="1" applyFont="1" applyFill="1" applyBorder="1" applyAlignment="1" applyProtection="1">
      <alignment horizontal="right" vertical="center" wrapText="1"/>
    </xf>
    <xf numFmtId="3" fontId="22" fillId="11" borderId="0" xfId="11" applyNumberFormat="1" applyFont="1" applyFill="1" applyBorder="1" applyAlignment="1" applyProtection="1">
      <alignment horizontal="center" vertical="center"/>
    </xf>
    <xf numFmtId="10" fontId="82" fillId="0" borderId="0" xfId="0" applyNumberFormat="1" applyFont="1"/>
    <xf numFmtId="0" fontId="82" fillId="0" borderId="0" xfId="0" applyFont="1"/>
    <xf numFmtId="49" fontId="22" fillId="11" borderId="0" xfId="11" applyNumberFormat="1" applyFont="1" applyFill="1" applyBorder="1" applyAlignment="1" applyProtection="1">
      <alignment horizontal="center" vertical="center"/>
    </xf>
    <xf numFmtId="3" fontId="34" fillId="11" borderId="0" xfId="11" applyNumberFormat="1" applyFont="1" applyFill="1" applyBorder="1" applyAlignment="1" applyProtection="1">
      <alignment horizontal="center" vertical="center"/>
    </xf>
    <xf numFmtId="3" fontId="34" fillId="11" borderId="0" xfId="11" applyNumberFormat="1" applyFont="1" applyFill="1" applyBorder="1" applyAlignment="1" applyProtection="1">
      <alignment horizontal="center" vertical="center" wrapText="1"/>
    </xf>
    <xf numFmtId="3" fontId="24" fillId="11" borderId="1" xfId="21" applyNumberFormat="1" applyFont="1" applyFill="1" applyBorder="1" applyAlignment="1">
      <alignment horizontal="center" vertical="center" wrapText="1"/>
    </xf>
    <xf numFmtId="10" fontId="24" fillId="11" borderId="22" xfId="0" applyNumberFormat="1" applyFont="1" applyFill="1" applyBorder="1" applyAlignment="1">
      <alignment horizontal="center" vertical="center" wrapText="1"/>
    </xf>
    <xf numFmtId="3" fontId="24" fillId="11" borderId="1" xfId="21" applyNumberFormat="1" applyFont="1" applyFill="1" applyBorder="1" applyAlignment="1">
      <alignment horizontal="right" vertical="center" wrapText="1"/>
    </xf>
    <xf numFmtId="0" fontId="26" fillId="11" borderId="1" xfId="21" applyFont="1" applyFill="1" applyBorder="1" applyAlignment="1">
      <alignment vertical="center"/>
    </xf>
    <xf numFmtId="0" fontId="83" fillId="11" borderId="1" xfId="21" applyFont="1" applyFill="1" applyBorder="1" applyAlignment="1">
      <alignment horizontal="center" vertical="center" wrapText="1"/>
    </xf>
    <xf numFmtId="0" fontId="7" fillId="11" borderId="16" xfId="19" applyFont="1" applyFill="1" applyBorder="1" applyAlignment="1">
      <alignment horizontal="center" vertical="center" wrapText="1"/>
    </xf>
    <xf numFmtId="3" fontId="18" fillId="11" borderId="1" xfId="21" quotePrefix="1" applyNumberFormat="1" applyFont="1" applyFill="1" applyBorder="1" applyAlignment="1">
      <alignment horizontal="center" vertical="center"/>
    </xf>
    <xf numFmtId="3" fontId="18" fillId="11" borderId="12" xfId="21" quotePrefix="1" applyNumberFormat="1" applyFont="1" applyFill="1" applyBorder="1" applyAlignment="1">
      <alignment horizontal="center" vertical="center"/>
    </xf>
    <xf numFmtId="10" fontId="18" fillId="11" borderId="12" xfId="21" quotePrefix="1" applyNumberFormat="1" applyFont="1" applyFill="1" applyBorder="1" applyAlignment="1">
      <alignment horizontal="center" vertical="center"/>
    </xf>
    <xf numFmtId="3" fontId="72" fillId="11" borderId="16" xfId="0" applyNumberFormat="1" applyFont="1" applyFill="1" applyBorder="1" applyAlignment="1">
      <alignment horizontal="right"/>
    </xf>
    <xf numFmtId="3" fontId="72" fillId="11" borderId="1" xfId="0" applyNumberFormat="1" applyFont="1" applyFill="1" applyBorder="1" applyAlignment="1">
      <alignment horizontal="right"/>
    </xf>
    <xf numFmtId="0" fontId="2" fillId="11" borderId="1" xfId="21" applyFont="1" applyFill="1" applyBorder="1" applyAlignment="1">
      <alignment horizontal="center" vertical="center" wrapText="1"/>
    </xf>
    <xf numFmtId="0" fontId="2" fillId="11" borderId="1" xfId="21" applyFont="1" applyFill="1" applyBorder="1" applyAlignment="1">
      <alignment horizontal="left" vertical="center" wrapText="1"/>
    </xf>
    <xf numFmtId="0" fontId="2" fillId="11" borderId="1" xfId="21" applyFont="1" applyFill="1" applyBorder="1" applyAlignment="1">
      <alignment horizontal="left" vertical="top" wrapText="1"/>
    </xf>
    <xf numFmtId="0" fontId="7" fillId="11" borderId="16" xfId="21" applyFont="1" applyFill="1" applyBorder="1" applyAlignment="1">
      <alignment horizontal="center" vertical="center" wrapText="1"/>
    </xf>
    <xf numFmtId="0" fontId="7" fillId="11" borderId="1" xfId="21" applyFont="1" applyFill="1" applyBorder="1" applyAlignment="1">
      <alignment horizontal="left" vertical="center" wrapText="1"/>
    </xf>
    <xf numFmtId="0" fontId="2" fillId="11" borderId="22" xfId="19" applyFont="1" applyFill="1" applyBorder="1" applyAlignment="1">
      <alignment horizontal="center" vertical="center" wrapText="1"/>
    </xf>
    <xf numFmtId="0" fontId="7" fillId="11" borderId="22" xfId="19" applyFont="1" applyFill="1" applyBorder="1" applyAlignment="1">
      <alignment horizontal="center" vertical="center" wrapText="1"/>
    </xf>
    <xf numFmtId="4" fontId="72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21" fillId="11" borderId="1" xfId="19" applyNumberFormat="1" applyFont="1" applyFill="1" applyBorder="1" applyAlignment="1">
      <alignment horizontal="center" vertical="center"/>
    </xf>
    <xf numFmtId="3" fontId="9" fillId="11" borderId="1" xfId="19" applyNumberFormat="1" applyFont="1" applyFill="1" applyBorder="1" applyAlignment="1">
      <alignment horizontal="center" vertical="center"/>
    </xf>
    <xf numFmtId="3" fontId="9" fillId="11" borderId="12" xfId="19" quotePrefix="1" applyNumberFormat="1" applyFont="1" applyFill="1" applyBorder="1" applyAlignment="1">
      <alignment horizontal="center" vertical="center"/>
    </xf>
    <xf numFmtId="0" fontId="82" fillId="11" borderId="1" xfId="0" applyFont="1" applyFill="1" applyBorder="1"/>
    <xf numFmtId="0" fontId="85" fillId="11" borderId="1" xfId="0" applyFont="1" applyFill="1" applyBorder="1" applyAlignment="1">
      <alignment horizontal="center"/>
    </xf>
    <xf numFmtId="0" fontId="0" fillId="11" borderId="1" xfId="0" applyFill="1" applyBorder="1"/>
    <xf numFmtId="3" fontId="18" fillId="11" borderId="1" xfId="21" quotePrefix="1" applyNumberFormat="1" applyFont="1" applyFill="1" applyBorder="1" applyAlignment="1">
      <alignment horizontal="right" vertical="center"/>
    </xf>
    <xf numFmtId="0" fontId="78" fillId="11" borderId="1" xfId="21" applyFont="1" applyFill="1" applyBorder="1" applyAlignment="1">
      <alignment vertical="center" wrapText="1"/>
    </xf>
    <xf numFmtId="3" fontId="9" fillId="11" borderId="16" xfId="21" quotePrefix="1" applyNumberFormat="1" applyFont="1" applyFill="1" applyBorder="1" applyAlignment="1">
      <alignment vertical="center" wrapText="1"/>
    </xf>
    <xf numFmtId="3" fontId="9" fillId="11" borderId="22" xfId="21" quotePrefix="1" applyNumberFormat="1" applyFont="1" applyFill="1" applyBorder="1" applyAlignment="1">
      <alignment vertical="center" wrapText="1"/>
    </xf>
    <xf numFmtId="10" fontId="9" fillId="11" borderId="22" xfId="21" quotePrefix="1" applyNumberFormat="1" applyFont="1" applyFill="1" applyBorder="1" applyAlignment="1">
      <alignment vertical="center" wrapText="1"/>
    </xf>
    <xf numFmtId="3" fontId="9" fillId="11" borderId="22" xfId="21" quotePrefix="1" applyNumberFormat="1" applyFont="1" applyFill="1" applyBorder="1" applyAlignment="1">
      <alignment horizontal="right" vertical="center" wrapText="1"/>
    </xf>
    <xf numFmtId="3" fontId="9" fillId="11" borderId="1" xfId="21" quotePrefix="1" applyNumberFormat="1" applyFont="1" applyFill="1" applyBorder="1" applyAlignment="1">
      <alignment horizontal="right" vertical="center" wrapText="1"/>
    </xf>
    <xf numFmtId="10" fontId="18" fillId="11" borderId="1" xfId="21" quotePrefix="1" applyNumberFormat="1" applyFont="1" applyFill="1" applyBorder="1" applyAlignment="1">
      <alignment horizontal="center" vertical="center"/>
    </xf>
    <xf numFmtId="3" fontId="81" fillId="11" borderId="1" xfId="21" quotePrefix="1" applyNumberFormat="1" applyFont="1" applyFill="1" applyBorder="1" applyAlignment="1">
      <alignment horizontal="center" vertical="center" wrapText="1"/>
    </xf>
    <xf numFmtId="3" fontId="81" fillId="11" borderId="16" xfId="21" quotePrefix="1" applyNumberFormat="1" applyFont="1" applyFill="1" applyBorder="1" applyAlignment="1">
      <alignment horizontal="center" vertical="center" wrapText="1"/>
    </xf>
    <xf numFmtId="3" fontId="81" fillId="11" borderId="16" xfId="21" quotePrefix="1" applyNumberFormat="1" applyFont="1" applyFill="1" applyBorder="1" applyAlignment="1">
      <alignment horizontal="right" vertical="center" wrapText="1"/>
    </xf>
    <xf numFmtId="0" fontId="9" fillId="11" borderId="1" xfId="19" applyFont="1" applyFill="1" applyBorder="1" applyAlignment="1">
      <alignment horizontal="left" vertical="top" wrapText="1"/>
    </xf>
    <xf numFmtId="0" fontId="86" fillId="11" borderId="1" xfId="19" applyFont="1" applyFill="1" applyBorder="1" applyAlignment="1">
      <alignment horizontal="center" vertical="center" wrapText="1"/>
    </xf>
    <xf numFmtId="0" fontId="86" fillId="11" borderId="1" xfId="19" applyFont="1" applyFill="1" applyBorder="1" applyAlignment="1">
      <alignment horizontal="left" vertical="top" wrapText="1"/>
    </xf>
    <xf numFmtId="2" fontId="7" fillId="11" borderId="16" xfId="21" applyNumberFormat="1" applyFont="1" applyFill="1" applyBorder="1" applyAlignment="1">
      <alignment horizontal="center" vertical="center"/>
    </xf>
    <xf numFmtId="0" fontId="87" fillId="11" borderId="1" xfId="21" applyFont="1" applyFill="1" applyBorder="1" applyAlignment="1">
      <alignment vertical="center" wrapText="1"/>
    </xf>
    <xf numFmtId="0" fontId="7" fillId="11" borderId="16" xfId="21" applyFont="1" applyFill="1" applyBorder="1" applyAlignment="1">
      <alignment horizontal="center" vertical="top" wrapText="1"/>
    </xf>
    <xf numFmtId="0" fontId="7" fillId="11" borderId="1" xfId="21" applyFont="1" applyFill="1" applyBorder="1" applyAlignment="1">
      <alignment horizontal="left" vertical="top" wrapText="1"/>
    </xf>
    <xf numFmtId="3" fontId="18" fillId="11" borderId="22" xfId="21" quotePrefix="1" applyNumberFormat="1" applyFont="1" applyFill="1" applyBorder="1" applyAlignment="1">
      <alignment horizontal="center" vertical="center"/>
    </xf>
    <xf numFmtId="10" fontId="18" fillId="11" borderId="22" xfId="21" quotePrefix="1" applyNumberFormat="1" applyFont="1" applyFill="1" applyBorder="1" applyAlignment="1">
      <alignment horizontal="center" vertical="center"/>
    </xf>
    <xf numFmtId="2" fontId="7" fillId="11" borderId="1" xfId="21" applyNumberFormat="1" applyFont="1" applyFill="1" applyBorder="1" applyAlignment="1">
      <alignment vertical="center" wrapText="1"/>
    </xf>
    <xf numFmtId="0" fontId="2" fillId="11" borderId="1" xfId="19" applyFont="1" applyFill="1" applyBorder="1" applyAlignment="1">
      <alignment horizontal="left" vertical="center" wrapText="1"/>
    </xf>
    <xf numFmtId="0" fontId="2" fillId="11" borderId="16" xfId="19" applyFont="1" applyFill="1" applyBorder="1" applyAlignment="1">
      <alignment horizontal="center" vertical="center" wrapText="1"/>
    </xf>
    <xf numFmtId="49" fontId="7" fillId="11" borderId="16" xfId="21" applyNumberFormat="1" applyFont="1" applyFill="1" applyBorder="1" applyAlignment="1">
      <alignment horizontal="center"/>
    </xf>
    <xf numFmtId="49" fontId="7" fillId="11" borderId="1" xfId="21" applyNumberFormat="1" applyFont="1" applyFill="1" applyBorder="1" applyAlignment="1">
      <alignment vertical="center" wrapText="1"/>
    </xf>
    <xf numFmtId="0" fontId="2" fillId="11" borderId="16" xfId="21" applyFont="1" applyFill="1" applyBorder="1" applyAlignment="1">
      <alignment horizontal="center" vertical="top" wrapText="1"/>
    </xf>
    <xf numFmtId="0" fontId="2" fillId="11" borderId="1" xfId="21" applyFont="1" applyFill="1" applyBorder="1" applyAlignment="1">
      <alignment vertical="center" wrapText="1"/>
    </xf>
    <xf numFmtId="0" fontId="7" fillId="11" borderId="1" xfId="21" applyFont="1" applyFill="1" applyBorder="1" applyAlignment="1">
      <alignment horizontal="center" vertical="top" wrapText="1"/>
    </xf>
    <xf numFmtId="0" fontId="7" fillId="11" borderId="0" xfId="21" applyFont="1" applyFill="1" applyAlignment="1">
      <alignment horizontal="center" vertical="top" wrapText="1"/>
    </xf>
    <xf numFmtId="0" fontId="7" fillId="11" borderId="1" xfId="19" applyFont="1" applyFill="1" applyBorder="1" applyAlignment="1">
      <alignment horizontal="center" wrapText="1"/>
    </xf>
    <xf numFmtId="0" fontId="18" fillId="11" borderId="1" xfId="19" applyFont="1" applyFill="1" applyBorder="1" applyAlignment="1">
      <alignment horizontal="center" vertical="center" wrapText="1"/>
    </xf>
    <xf numFmtId="0" fontId="18" fillId="11" borderId="1" xfId="19" applyFont="1" applyFill="1" applyBorder="1" applyAlignment="1">
      <alignment horizontal="left" vertical="center" wrapText="1"/>
    </xf>
    <xf numFmtId="0" fontId="7" fillId="11" borderId="16" xfId="19" applyFont="1" applyFill="1" applyBorder="1" applyAlignment="1">
      <alignment horizontal="center" wrapText="1"/>
    </xf>
    <xf numFmtId="3" fontId="18" fillId="11" borderId="1" xfId="21" applyNumberFormat="1" applyFont="1" applyFill="1" applyBorder="1" applyAlignment="1">
      <alignment vertical="center"/>
    </xf>
    <xf numFmtId="3" fontId="18" fillId="11" borderId="16" xfId="21" applyNumberFormat="1" applyFont="1" applyFill="1" applyBorder="1" applyAlignment="1">
      <alignment vertical="center"/>
    </xf>
    <xf numFmtId="3" fontId="18" fillId="11" borderId="12" xfId="21" applyNumberFormat="1" applyFont="1" applyFill="1" applyBorder="1" applyAlignment="1">
      <alignment vertical="center"/>
    </xf>
    <xf numFmtId="3" fontId="18" fillId="11" borderId="22" xfId="21" applyNumberFormat="1" applyFont="1" applyFill="1" applyBorder="1" applyAlignment="1">
      <alignment vertical="center"/>
    </xf>
    <xf numFmtId="0" fontId="7" fillId="11" borderId="15" xfId="19" applyFont="1" applyFill="1" applyBorder="1" applyAlignment="1">
      <alignment horizontal="center" vertical="center" wrapText="1"/>
    </xf>
    <xf numFmtId="3" fontId="72" fillId="11" borderId="12" xfId="0" applyNumberFormat="1" applyFont="1" applyFill="1" applyBorder="1" applyAlignment="1">
      <alignment horizontal="right"/>
    </xf>
    <xf numFmtId="3" fontId="18" fillId="11" borderId="16" xfId="21" quotePrefix="1" applyNumberFormat="1" applyFont="1" applyFill="1" applyBorder="1" applyAlignment="1">
      <alignment horizontal="center" vertical="center"/>
    </xf>
    <xf numFmtId="49" fontId="2" fillId="11" borderId="1" xfId="21" applyNumberFormat="1" applyFont="1" applyFill="1" applyBorder="1" applyAlignment="1">
      <alignment vertical="center" wrapText="1"/>
    </xf>
    <xf numFmtId="0" fontId="2" fillId="11" borderId="12" xfId="19" applyFont="1" applyFill="1" applyBorder="1" applyAlignment="1">
      <alignment horizontal="center" vertical="center" wrapText="1"/>
    </xf>
    <xf numFmtId="49" fontId="2" fillId="11" borderId="1" xfId="21" applyNumberFormat="1" applyFont="1" applyFill="1" applyBorder="1" applyAlignment="1">
      <alignment horizontal="center" vertical="center"/>
    </xf>
    <xf numFmtId="0" fontId="89" fillId="11" borderId="1" xfId="21" applyFont="1" applyFill="1" applyBorder="1" applyAlignment="1">
      <alignment horizontal="center" vertical="center" wrapText="1"/>
    </xf>
    <xf numFmtId="0" fontId="89" fillId="11" borderId="1" xfId="21" applyFont="1" applyFill="1" applyBorder="1" applyAlignment="1">
      <alignment horizontal="left" vertical="center" wrapText="1"/>
    </xf>
    <xf numFmtId="0" fontId="2" fillId="11" borderId="11" xfId="19" applyFont="1" applyFill="1" applyBorder="1" applyAlignment="1">
      <alignment horizontal="center" vertical="center" wrapText="1"/>
    </xf>
    <xf numFmtId="0" fontId="2" fillId="11" borderId="1" xfId="21" applyFont="1" applyFill="1" applyBorder="1" applyAlignment="1">
      <alignment horizontal="center" vertical="top" wrapText="1"/>
    </xf>
    <xf numFmtId="0" fontId="2" fillId="11" borderId="0" xfId="21" applyFont="1" applyFill="1" applyAlignment="1">
      <alignment horizontal="center" vertical="center" wrapText="1"/>
    </xf>
    <xf numFmtId="2" fontId="2" fillId="11" borderId="1" xfId="21" applyNumberFormat="1" applyFont="1" applyFill="1" applyBorder="1" applyAlignment="1">
      <alignment horizontal="center" vertical="center"/>
    </xf>
    <xf numFmtId="49" fontId="7" fillId="11" borderId="1" xfId="21" applyNumberFormat="1" applyFont="1" applyFill="1" applyBorder="1" applyAlignment="1">
      <alignment wrapText="1"/>
    </xf>
    <xf numFmtId="3" fontId="72" fillId="11" borderId="22" xfId="0" applyNumberFormat="1" applyFont="1" applyFill="1" applyBorder="1" applyAlignment="1">
      <alignment horizontal="right"/>
    </xf>
    <xf numFmtId="0" fontId="7" fillId="11" borderId="0" xfId="21" applyFont="1" applyFill="1" applyAlignment="1">
      <alignment horizontal="left" vertical="top" wrapText="1"/>
    </xf>
    <xf numFmtId="0" fontId="0" fillId="18" borderId="0" xfId="0" applyFill="1"/>
    <xf numFmtId="0" fontId="2" fillId="11" borderId="16" xfId="21" applyFont="1" applyFill="1" applyBorder="1" applyAlignment="1">
      <alignment horizontal="center" vertical="center" wrapText="1"/>
    </xf>
    <xf numFmtId="0" fontId="2" fillId="11" borderId="15" xfId="21" applyFont="1" applyFill="1" applyBorder="1" applyAlignment="1">
      <alignment horizontal="center" vertical="center" wrapText="1"/>
    </xf>
    <xf numFmtId="0" fontId="2" fillId="11" borderId="17" xfId="19" applyFont="1" applyFill="1" applyBorder="1" applyAlignment="1">
      <alignment horizontal="center" vertical="center" wrapText="1"/>
    </xf>
    <xf numFmtId="3" fontId="18" fillId="11" borderId="22" xfId="21" quotePrefix="1" applyNumberFormat="1" applyFont="1" applyFill="1" applyBorder="1" applyAlignment="1">
      <alignment horizontal="right" vertical="center"/>
    </xf>
    <xf numFmtId="0" fontId="7" fillId="11" borderId="1" xfId="21" applyFont="1" applyFill="1" applyBorder="1" applyAlignment="1">
      <alignment horizontal="center" vertical="center" wrapText="1"/>
    </xf>
    <xf numFmtId="0" fontId="90" fillId="11" borderId="1" xfId="21" applyFont="1" applyFill="1" applyBorder="1" applyAlignment="1">
      <alignment horizontal="left" vertical="top" wrapText="1"/>
    </xf>
    <xf numFmtId="3" fontId="18" fillId="11" borderId="1" xfId="21" quotePrefix="1" applyNumberFormat="1" applyFont="1" applyFill="1" applyBorder="1" applyAlignment="1">
      <alignment vertical="center"/>
    </xf>
    <xf numFmtId="10" fontId="18" fillId="11" borderId="1" xfId="21" quotePrefix="1" applyNumberFormat="1" applyFont="1" applyFill="1" applyBorder="1" applyAlignment="1">
      <alignment vertical="center"/>
    </xf>
    <xf numFmtId="3" fontId="18" fillId="11" borderId="16" xfId="21" quotePrefix="1" applyNumberFormat="1" applyFont="1" applyFill="1" applyBorder="1" applyAlignment="1">
      <alignment vertical="center"/>
    </xf>
    <xf numFmtId="3" fontId="24" fillId="11" borderId="22" xfId="21" applyNumberFormat="1" applyFont="1" applyFill="1" applyBorder="1" applyAlignment="1">
      <alignment horizontal="right" vertical="center" wrapText="1"/>
    </xf>
    <xf numFmtId="3" fontId="18" fillId="11" borderId="16" xfId="21" applyNumberFormat="1" applyFont="1" applyFill="1" applyBorder="1" applyAlignment="1">
      <alignment horizontal="center" vertical="center"/>
    </xf>
    <xf numFmtId="3" fontId="18" fillId="11" borderId="1" xfId="21" applyNumberFormat="1" applyFont="1" applyFill="1" applyBorder="1" applyAlignment="1">
      <alignment horizontal="center" vertical="center"/>
    </xf>
    <xf numFmtId="0" fontId="18" fillId="11" borderId="1" xfId="21" applyFont="1" applyFill="1" applyBorder="1" applyAlignment="1">
      <alignment horizontal="right" vertical="center"/>
    </xf>
    <xf numFmtId="0" fontId="86" fillId="11" borderId="1" xfId="21" applyFont="1" applyFill="1" applyBorder="1" applyAlignment="1">
      <alignment horizontal="left" vertical="center" wrapText="1"/>
    </xf>
    <xf numFmtId="3" fontId="7" fillId="11" borderId="1" xfId="21" applyNumberFormat="1" applyFont="1" applyFill="1" applyBorder="1" applyAlignment="1">
      <alignment horizontal="center" vertical="center" wrapText="1"/>
    </xf>
    <xf numFmtId="10" fontId="7" fillId="11" borderId="1" xfId="21" applyNumberFormat="1" applyFont="1" applyFill="1" applyBorder="1" applyAlignment="1">
      <alignment horizontal="center" vertical="center" wrapText="1"/>
    </xf>
    <xf numFmtId="3" fontId="7" fillId="11" borderId="16" xfId="21" applyNumberFormat="1" applyFont="1" applyFill="1" applyBorder="1" applyAlignment="1">
      <alignment horizontal="center" vertical="center" wrapText="1"/>
    </xf>
    <xf numFmtId="3" fontId="7" fillId="11" borderId="22" xfId="21" applyNumberFormat="1" applyFont="1" applyFill="1" applyBorder="1" applyAlignment="1">
      <alignment horizontal="right" vertical="center" wrapText="1"/>
    </xf>
    <xf numFmtId="3" fontId="7" fillId="11" borderId="1" xfId="21" applyNumberFormat="1" applyFont="1" applyFill="1" applyBorder="1" applyAlignment="1">
      <alignment horizontal="right" vertical="center" wrapText="1"/>
    </xf>
    <xf numFmtId="0" fontId="81" fillId="11" borderId="1" xfId="21" applyFont="1" applyFill="1" applyBorder="1" applyAlignment="1">
      <alignment horizontal="right" vertical="center"/>
    </xf>
    <xf numFmtId="3" fontId="81" fillId="11" borderId="1" xfId="21" applyNumberFormat="1" applyFont="1" applyFill="1" applyBorder="1" applyAlignment="1">
      <alignment horizontal="center" vertical="center"/>
    </xf>
    <xf numFmtId="3" fontId="81" fillId="11" borderId="16" xfId="21" applyNumberFormat="1" applyFont="1" applyFill="1" applyBorder="1" applyAlignment="1">
      <alignment horizontal="center" vertical="center"/>
    </xf>
    <xf numFmtId="3" fontId="81" fillId="11" borderId="22" xfId="21" applyNumberFormat="1" applyFont="1" applyFill="1" applyBorder="1" applyAlignment="1">
      <alignment horizontal="right" vertical="center"/>
    </xf>
    <xf numFmtId="3" fontId="81" fillId="11" borderId="1" xfId="21" applyNumberFormat="1" applyFont="1" applyFill="1" applyBorder="1" applyAlignment="1">
      <alignment horizontal="right" vertical="center"/>
    </xf>
    <xf numFmtId="0" fontId="81" fillId="11" borderId="1" xfId="21" applyFont="1" applyFill="1" applyBorder="1" applyAlignment="1">
      <alignment vertical="center"/>
    </xf>
    <xf numFmtId="165" fontId="77" fillId="11" borderId="54" xfId="10" applyNumberFormat="1" applyFont="1" applyFill="1" applyBorder="1" applyProtection="1">
      <alignment vertical="center"/>
    </xf>
    <xf numFmtId="165" fontId="77" fillId="11" borderId="49" xfId="10" applyNumberFormat="1" applyFont="1" applyFill="1" applyBorder="1" applyAlignment="1" applyProtection="1">
      <alignment horizontal="right" vertical="center" wrapText="1"/>
    </xf>
    <xf numFmtId="165" fontId="77" fillId="11" borderId="31" xfId="10" applyNumberFormat="1" applyFont="1" applyFill="1" applyBorder="1" applyProtection="1">
      <alignment vertical="center"/>
    </xf>
    <xf numFmtId="165" fontId="77" fillId="11" borderId="33" xfId="10" applyNumberFormat="1" applyFont="1" applyFill="1" applyBorder="1" applyAlignment="1" applyProtection="1">
      <alignment horizontal="right" vertical="center" wrapText="1"/>
    </xf>
    <xf numFmtId="0" fontId="23" fillId="11" borderId="1" xfId="17" applyFont="1" applyFill="1" applyBorder="1" applyAlignment="1">
      <alignment horizontal="left" vertical="center"/>
    </xf>
    <xf numFmtId="0" fontId="92" fillId="11" borderId="1" xfId="17" quotePrefix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7" fillId="11" borderId="1" xfId="23" applyFont="1" applyFill="1" applyBorder="1" applyAlignment="1">
      <alignment horizontal="center" vertical="center" wrapText="1"/>
    </xf>
    <xf numFmtId="0" fontId="7" fillId="11" borderId="1" xfId="23" applyFont="1" applyFill="1" applyBorder="1" applyAlignment="1">
      <alignment horizontal="left" vertical="top" wrapText="1"/>
    </xf>
    <xf numFmtId="3" fontId="18" fillId="11" borderId="1" xfId="17" quotePrefix="1" applyNumberFormat="1" applyFont="1" applyFill="1" applyBorder="1" applyAlignment="1">
      <alignment horizontal="center" vertical="center"/>
    </xf>
    <xf numFmtId="10" fontId="18" fillId="11" borderId="1" xfId="17" quotePrefix="1" applyNumberFormat="1" applyFont="1" applyFill="1" applyBorder="1" applyAlignment="1">
      <alignment horizontal="center" vertical="center"/>
    </xf>
    <xf numFmtId="3" fontId="0" fillId="11" borderId="1" xfId="0" applyNumberFormat="1" applyFill="1" applyBorder="1"/>
    <xf numFmtId="49" fontId="7" fillId="11" borderId="1" xfId="23" applyNumberFormat="1" applyFont="1" applyFill="1" applyBorder="1" applyAlignment="1">
      <alignment horizontal="center" vertical="center"/>
    </xf>
    <xf numFmtId="49" fontId="7" fillId="11" borderId="1" xfId="23" applyNumberFormat="1" applyFont="1" applyFill="1" applyBorder="1" applyAlignment="1">
      <alignment vertical="top" wrapText="1"/>
    </xf>
    <xf numFmtId="0" fontId="93" fillId="11" borderId="1" xfId="23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wrapText="1"/>
    </xf>
    <xf numFmtId="0" fontId="2" fillId="11" borderId="1" xfId="17" applyFont="1" applyFill="1" applyBorder="1" applyAlignment="1">
      <alignment vertical="center" wrapText="1"/>
    </xf>
    <xf numFmtId="0" fontId="7" fillId="11" borderId="1" xfId="17" applyFont="1" applyFill="1" applyBorder="1" applyAlignment="1">
      <alignment horizontal="left" vertical="top" wrapText="1"/>
    </xf>
    <xf numFmtId="0" fontId="7" fillId="11" borderId="1" xfId="17" applyFont="1" applyFill="1" applyBorder="1" applyAlignment="1">
      <alignment horizontal="center" vertical="center" wrapText="1"/>
    </xf>
    <xf numFmtId="0" fontId="93" fillId="11" borderId="1" xfId="23" applyFont="1" applyFill="1" applyBorder="1" applyAlignment="1">
      <alignment horizontal="center" vertical="center" wrapText="1"/>
    </xf>
    <xf numFmtId="0" fontId="7" fillId="11" borderId="1" xfId="23" applyFont="1" applyFill="1" applyBorder="1" applyAlignment="1">
      <alignment horizontal="left" vertical="center" wrapText="1"/>
    </xf>
    <xf numFmtId="0" fontId="7" fillId="11" borderId="1" xfId="17" applyFont="1" applyFill="1" applyBorder="1" applyAlignment="1">
      <alignment horizontal="left" vertical="center" wrapText="1"/>
    </xf>
    <xf numFmtId="0" fontId="7" fillId="11" borderId="1" xfId="17" applyFont="1" applyFill="1" applyBorder="1" applyAlignment="1">
      <alignment vertical="top" wrapText="1"/>
    </xf>
    <xf numFmtId="0" fontId="7" fillId="11" borderId="12" xfId="23" applyFont="1" applyFill="1" applyBorder="1" applyAlignment="1">
      <alignment horizontal="left" vertical="center" wrapText="1"/>
    </xf>
    <xf numFmtId="0" fontId="94" fillId="11" borderId="1" xfId="17" applyFont="1" applyFill="1" applyBorder="1" applyAlignment="1">
      <alignment horizontal="center" vertical="center"/>
    </xf>
    <xf numFmtId="0" fontId="90" fillId="11" borderId="12" xfId="17" applyFont="1" applyFill="1" applyBorder="1" applyAlignment="1">
      <alignment horizontal="left" vertical="center" wrapText="1"/>
    </xf>
    <xf numFmtId="0" fontId="23" fillId="11" borderId="11" xfId="17" applyFont="1" applyFill="1" applyBorder="1" applyAlignment="1">
      <alignment horizontal="left" vertical="center"/>
    </xf>
    <xf numFmtId="0" fontId="9" fillId="11" borderId="11" xfId="17" quotePrefix="1" applyFont="1" applyFill="1" applyBorder="1" applyAlignment="1">
      <alignment horizontal="left" vertical="center" wrapText="1"/>
    </xf>
    <xf numFmtId="3" fontId="18" fillId="11" borderId="1" xfId="17" quotePrefix="1" applyNumberFormat="1" applyFont="1" applyFill="1" applyBorder="1" applyAlignment="1">
      <alignment horizontal="center" vertical="center" wrapText="1"/>
    </xf>
    <xf numFmtId="10" fontId="18" fillId="11" borderId="1" xfId="17" quotePrefix="1" applyNumberFormat="1" applyFont="1" applyFill="1" applyBorder="1" applyAlignment="1">
      <alignment horizontal="center" vertical="center" wrapText="1"/>
    </xf>
    <xf numFmtId="0" fontId="9" fillId="11" borderId="1" xfId="17" quotePrefix="1" applyFont="1" applyFill="1" applyBorder="1" applyAlignment="1">
      <alignment horizontal="left" vertical="center" wrapText="1"/>
    </xf>
    <xf numFmtId="3" fontId="81" fillId="11" borderId="1" xfId="17" quotePrefix="1" applyNumberFormat="1" applyFont="1" applyFill="1" applyBorder="1" applyAlignment="1">
      <alignment horizontal="center" vertical="center" wrapText="1"/>
    </xf>
    <xf numFmtId="10" fontId="81" fillId="11" borderId="1" xfId="17" quotePrefix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3" fontId="0" fillId="11" borderId="0" xfId="0" applyNumberFormat="1" applyFill="1"/>
    <xf numFmtId="10" fontId="0" fillId="11" borderId="0" xfId="0" applyNumberFormat="1" applyFill="1"/>
    <xf numFmtId="165" fontId="36" fillId="11" borderId="31" xfId="10" applyNumberFormat="1" applyFont="1" applyFill="1" applyBorder="1" applyProtection="1">
      <alignment vertical="center"/>
    </xf>
    <xf numFmtId="0" fontId="92" fillId="11" borderId="12" xfId="17" quotePrefix="1" applyFont="1" applyFill="1" applyBorder="1" applyAlignment="1">
      <alignment horizontal="center" vertical="center" wrapText="1"/>
    </xf>
    <xf numFmtId="49" fontId="2" fillId="11" borderId="1" xfId="17" applyNumberFormat="1" applyFont="1" applyFill="1" applyBorder="1" applyAlignment="1">
      <alignment horizontal="center" vertical="center"/>
    </xf>
    <xf numFmtId="0" fontId="4" fillId="11" borderId="12" xfId="17" applyFont="1" applyFill="1" applyBorder="1" applyAlignment="1">
      <alignment horizontal="left" vertical="center" wrapText="1"/>
    </xf>
    <xf numFmtId="3" fontId="9" fillId="11" borderId="1" xfId="17" quotePrefix="1" applyNumberFormat="1" applyFont="1" applyFill="1" applyBorder="1" applyAlignment="1">
      <alignment vertical="center" wrapText="1"/>
    </xf>
    <xf numFmtId="10" fontId="9" fillId="11" borderId="1" xfId="17" quotePrefix="1" applyNumberFormat="1" applyFont="1" applyFill="1" applyBorder="1" applyAlignment="1">
      <alignment vertical="center" wrapText="1"/>
    </xf>
    <xf numFmtId="0" fontId="2" fillId="11" borderId="1" xfId="23" applyFont="1" applyFill="1" applyBorder="1" applyAlignment="1">
      <alignment horizontal="center" vertical="center" wrapText="1"/>
    </xf>
    <xf numFmtId="0" fontId="2" fillId="11" borderId="1" xfId="23" applyFont="1" applyFill="1" applyBorder="1" applyAlignment="1">
      <alignment horizontal="left" wrapText="1"/>
    </xf>
    <xf numFmtId="3" fontId="18" fillId="11" borderId="1" xfId="17" quotePrefix="1" applyNumberFormat="1" applyFont="1" applyFill="1" applyBorder="1" applyAlignment="1">
      <alignment vertical="center"/>
    </xf>
    <xf numFmtId="3" fontId="18" fillId="11" borderId="1" xfId="17" quotePrefix="1" applyNumberFormat="1" applyFont="1" applyFill="1" applyBorder="1" applyAlignment="1">
      <alignment vertical="center" wrapText="1"/>
    </xf>
    <xf numFmtId="3" fontId="72" fillId="11" borderId="1" xfId="0" applyNumberFormat="1" applyFont="1" applyFill="1" applyBorder="1" applyAlignment="1"/>
    <xf numFmtId="0" fontId="93" fillId="11" borderId="1" xfId="17" applyFont="1" applyFill="1" applyBorder="1" applyAlignment="1">
      <alignment horizontal="left" wrapText="1"/>
    </xf>
    <xf numFmtId="0" fontId="7" fillId="11" borderId="1" xfId="17" applyFont="1" applyFill="1" applyBorder="1" applyAlignment="1">
      <alignment horizontal="left" wrapText="1"/>
    </xf>
    <xf numFmtId="0" fontId="7" fillId="11" borderId="1" xfId="23" applyFont="1" applyFill="1" applyBorder="1" applyAlignment="1">
      <alignment horizontal="left" wrapText="1"/>
    </xf>
    <xf numFmtId="49" fontId="93" fillId="11" borderId="1" xfId="17" applyNumberFormat="1" applyFont="1" applyFill="1" applyBorder="1" applyAlignment="1">
      <alignment wrapText="1"/>
    </xf>
    <xf numFmtId="0" fontId="93" fillId="11" borderId="1" xfId="23" applyFont="1" applyFill="1" applyBorder="1" applyAlignment="1">
      <alignment horizontal="left" wrapText="1"/>
    </xf>
    <xf numFmtId="49" fontId="93" fillId="11" borderId="1" xfId="17" applyNumberFormat="1" applyFont="1" applyFill="1" applyBorder="1" applyAlignment="1">
      <alignment horizontal="center" vertical="center"/>
    </xf>
    <xf numFmtId="0" fontId="7" fillId="11" borderId="12" xfId="17" applyFont="1" applyFill="1" applyBorder="1" applyAlignment="1">
      <alignment horizontal="left" wrapText="1"/>
    </xf>
    <xf numFmtId="10" fontId="18" fillId="11" borderId="1" xfId="17" quotePrefix="1" applyNumberFormat="1" applyFont="1" applyFill="1" applyBorder="1" applyAlignment="1">
      <alignment vertical="center"/>
    </xf>
    <xf numFmtId="3" fontId="9" fillId="11" borderId="1" xfId="17" quotePrefix="1" applyNumberFormat="1" applyFont="1" applyFill="1" applyBorder="1" applyAlignment="1">
      <alignment vertical="center"/>
    </xf>
    <xf numFmtId="0" fontId="2" fillId="11" borderId="1" xfId="23" applyFont="1" applyFill="1" applyBorder="1" applyAlignment="1">
      <alignment horizontal="center" vertical="center"/>
    </xf>
    <xf numFmtId="0" fontId="2" fillId="11" borderId="1" xfId="23" applyFont="1" applyFill="1" applyBorder="1" applyAlignment="1">
      <alignment horizontal="left" vertical="center" wrapText="1"/>
    </xf>
    <xf numFmtId="10" fontId="18" fillId="11" borderId="1" xfId="17" quotePrefix="1" applyNumberFormat="1" applyFont="1" applyFill="1" applyBorder="1" applyAlignment="1">
      <alignment vertical="center" wrapText="1"/>
    </xf>
    <xf numFmtId="3" fontId="81" fillId="11" borderId="1" xfId="17" quotePrefix="1" applyNumberFormat="1" applyFont="1" applyFill="1" applyBorder="1" applyAlignment="1">
      <alignment vertical="center" wrapText="1"/>
    </xf>
    <xf numFmtId="10" fontId="81" fillId="11" borderId="1" xfId="17" quotePrefix="1" applyNumberFormat="1" applyFont="1" applyFill="1" applyBorder="1" applyAlignment="1">
      <alignment vertical="center" wrapText="1"/>
    </xf>
    <xf numFmtId="10" fontId="0" fillId="11" borderId="0" xfId="0" applyNumberFormat="1" applyFill="1" applyAlignment="1">
      <alignment horizontal="center" vertical="center"/>
    </xf>
    <xf numFmtId="0" fontId="82" fillId="11" borderId="0" xfId="0" applyFont="1" applyFill="1"/>
    <xf numFmtId="0" fontId="24" fillId="11" borderId="17" xfId="0" applyFont="1" applyFill="1" applyBorder="1" applyAlignment="1">
      <alignment horizontal="center" vertical="center" wrapText="1"/>
    </xf>
    <xf numFmtId="49" fontId="24" fillId="11" borderId="1" xfId="0" applyNumberFormat="1" applyFont="1" applyFill="1" applyBorder="1" applyAlignment="1">
      <alignment vertical="center"/>
    </xf>
    <xf numFmtId="0" fontId="79" fillId="11" borderId="12" xfId="0" quotePrefix="1" applyFont="1" applyFill="1" applyBorder="1" applyAlignment="1">
      <alignment vertical="center" wrapText="1"/>
    </xf>
    <xf numFmtId="49" fontId="73" fillId="11" borderId="1" xfId="0" applyNumberFormat="1" applyFont="1" applyFill="1" applyBorder="1" applyAlignment="1">
      <alignment vertical="center" wrapText="1"/>
    </xf>
    <xf numFmtId="3" fontId="65" fillId="11" borderId="1" xfId="0" applyNumberFormat="1" applyFont="1" applyFill="1" applyBorder="1" applyAlignment="1">
      <alignment vertical="center" wrapText="1"/>
    </xf>
    <xf numFmtId="3" fontId="18" fillId="11" borderId="1" xfId="0" quotePrefix="1" applyNumberFormat="1" applyFont="1" applyFill="1" applyBorder="1" applyAlignment="1">
      <alignment vertical="center"/>
    </xf>
    <xf numFmtId="10" fontId="18" fillId="11" borderId="1" xfId="0" quotePrefix="1" applyNumberFormat="1" applyFont="1" applyFill="1" applyBorder="1" applyAlignment="1">
      <alignment vertical="center"/>
    </xf>
    <xf numFmtId="3" fontId="72" fillId="11" borderId="1" xfId="0" applyNumberFormat="1" applyFont="1" applyFill="1" applyBorder="1" applyAlignment="1">
      <alignment vertical="center"/>
    </xf>
    <xf numFmtId="10" fontId="72" fillId="11" borderId="1" xfId="0" applyNumberFormat="1" applyFont="1" applyFill="1" applyBorder="1" applyAlignment="1">
      <alignment vertical="center"/>
    </xf>
    <xf numFmtId="49" fontId="73" fillId="11" borderId="1" xfId="19" applyNumberFormat="1" applyFont="1" applyFill="1" applyBorder="1" applyAlignment="1">
      <alignment vertical="center" wrapText="1"/>
    </xf>
    <xf numFmtId="3" fontId="65" fillId="11" borderId="1" xfId="19" applyNumberFormat="1" applyFont="1" applyFill="1" applyBorder="1" applyAlignment="1">
      <alignment vertical="center" wrapText="1"/>
    </xf>
    <xf numFmtId="3" fontId="4" fillId="11" borderId="1" xfId="0" applyNumberFormat="1" applyFont="1" applyFill="1" applyBorder="1" applyAlignment="1">
      <alignment vertical="center" wrapText="1"/>
    </xf>
    <xf numFmtId="2" fontId="18" fillId="11" borderId="1" xfId="0" quotePrefix="1" applyNumberFormat="1" applyFont="1" applyFill="1" applyBorder="1" applyAlignment="1">
      <alignment vertical="center"/>
    </xf>
    <xf numFmtId="49" fontId="73" fillId="11" borderId="1" xfId="0" applyNumberFormat="1" applyFont="1" applyFill="1" applyBorder="1" applyAlignment="1">
      <alignment vertical="center"/>
    </xf>
    <xf numFmtId="49" fontId="73" fillId="11" borderId="1" xfId="19" applyNumberFormat="1" applyFont="1" applyFill="1" applyBorder="1" applyAlignment="1">
      <alignment vertical="center"/>
    </xf>
    <xf numFmtId="49" fontId="65" fillId="11" borderId="1" xfId="19" applyNumberFormat="1" applyFont="1" applyFill="1" applyBorder="1" applyAlignment="1">
      <alignment vertical="center" wrapText="1"/>
    </xf>
    <xf numFmtId="0" fontId="65" fillId="11" borderId="1" xfId="19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/>
    </xf>
    <xf numFmtId="3" fontId="49" fillId="11" borderId="1" xfId="0" applyNumberFormat="1" applyFont="1" applyFill="1" applyBorder="1" applyAlignment="1">
      <alignment vertical="center"/>
    </xf>
    <xf numFmtId="3" fontId="9" fillId="11" borderId="1" xfId="0" quotePrefix="1" applyNumberFormat="1" applyFont="1" applyFill="1" applyBorder="1" applyAlignment="1">
      <alignment vertical="center"/>
    </xf>
    <xf numFmtId="3" fontId="67" fillId="11" borderId="1" xfId="19" applyNumberFormat="1" applyFont="1" applyFill="1" applyBorder="1" applyAlignment="1">
      <alignment vertical="center" wrapText="1"/>
    </xf>
    <xf numFmtId="3" fontId="81" fillId="11" borderId="1" xfId="0" quotePrefix="1" applyNumberFormat="1" applyFont="1" applyFill="1" applyBorder="1" applyAlignment="1">
      <alignment vertical="center" wrapText="1"/>
    </xf>
    <xf numFmtId="49" fontId="96" fillId="11" borderId="0" xfId="0" applyNumberFormat="1" applyFont="1" applyFill="1" applyAlignment="1">
      <alignment vertical="center"/>
    </xf>
    <xf numFmtId="3" fontId="67" fillId="11" borderId="16" xfId="19" applyNumberFormat="1" applyFont="1" applyFill="1" applyBorder="1" applyAlignment="1">
      <alignment vertical="center" wrapText="1"/>
    </xf>
    <xf numFmtId="0" fontId="24" fillId="11" borderId="12" xfId="0" quotePrefix="1" applyFont="1" applyFill="1" applyBorder="1" applyAlignment="1">
      <alignment vertical="center" wrapText="1"/>
    </xf>
    <xf numFmtId="0" fontId="65" fillId="11" borderId="1" xfId="0" applyFont="1" applyFill="1" applyBorder="1" applyAlignment="1">
      <alignment vertical="center" wrapText="1"/>
    </xf>
    <xf numFmtId="3" fontId="7" fillId="11" borderId="1" xfId="0" quotePrefix="1" applyNumberFormat="1" applyFont="1" applyFill="1" applyBorder="1" applyAlignment="1">
      <alignment vertical="center"/>
    </xf>
    <xf numFmtId="0" fontId="72" fillId="11" borderId="1" xfId="0" applyFont="1" applyFill="1" applyBorder="1" applyAlignment="1">
      <alignment vertical="center"/>
    </xf>
    <xf numFmtId="0" fontId="65" fillId="11" borderId="0" xfId="0" applyFont="1" applyFill="1" applyAlignment="1">
      <alignment vertical="center" wrapText="1"/>
    </xf>
    <xf numFmtId="3" fontId="18" fillId="11" borderId="1" xfId="0" applyNumberFormat="1" applyFont="1" applyFill="1" applyBorder="1" applyAlignment="1">
      <alignment vertical="center"/>
    </xf>
    <xf numFmtId="3" fontId="99" fillId="11" borderId="1" xfId="0" quotePrefix="1" applyNumberFormat="1" applyFont="1" applyFill="1" applyBorder="1" applyAlignment="1">
      <alignment vertical="center"/>
    </xf>
    <xf numFmtId="0" fontId="100" fillId="11" borderId="1" xfId="0" applyFont="1" applyFill="1" applyBorder="1" applyAlignment="1">
      <alignment vertical="center"/>
    </xf>
    <xf numFmtId="49" fontId="4" fillId="11" borderId="1" xfId="19" applyNumberFormat="1" applyFont="1" applyFill="1" applyBorder="1" applyAlignment="1">
      <alignment vertical="center" wrapText="1"/>
    </xf>
    <xf numFmtId="3" fontId="4" fillId="11" borderId="1" xfId="19" applyNumberFormat="1" applyFont="1" applyFill="1" applyBorder="1" applyAlignment="1">
      <alignment vertical="center" wrapText="1"/>
    </xf>
    <xf numFmtId="0" fontId="101" fillId="0" borderId="0" xfId="0" applyFont="1"/>
    <xf numFmtId="0" fontId="73" fillId="11" borderId="1" xfId="0" applyFont="1" applyFill="1" applyBorder="1" applyAlignment="1">
      <alignment vertical="center" wrapText="1"/>
    </xf>
    <xf numFmtId="3" fontId="2" fillId="11" borderId="1" xfId="0" quotePrefix="1" applyNumberFormat="1" applyFont="1" applyFill="1" applyBorder="1" applyAlignment="1">
      <alignment vertical="center"/>
    </xf>
    <xf numFmtId="49" fontId="73" fillId="11" borderId="17" xfId="19" applyNumberFormat="1" applyFont="1" applyFill="1" applyBorder="1" applyAlignment="1">
      <alignment vertical="center" wrapText="1"/>
    </xf>
    <xf numFmtId="0" fontId="58" fillId="11" borderId="12" xfId="0" quotePrefix="1" applyFont="1" applyFill="1" applyBorder="1" applyAlignment="1">
      <alignment vertical="center" wrapText="1"/>
    </xf>
    <xf numFmtId="3" fontId="37" fillId="11" borderId="1" xfId="0" quotePrefix="1" applyNumberFormat="1" applyFont="1" applyFill="1" applyBorder="1" applyAlignment="1">
      <alignment vertical="center" wrapText="1"/>
    </xf>
    <xf numFmtId="0" fontId="58" fillId="11" borderId="12" xfId="0" applyFont="1" applyFill="1" applyBorder="1" applyAlignment="1">
      <alignment vertical="center" wrapText="1"/>
    </xf>
    <xf numFmtId="0" fontId="58" fillId="11" borderId="1" xfId="0" quotePrefix="1" applyFont="1" applyFill="1" applyBorder="1" applyAlignment="1">
      <alignment vertical="center" wrapText="1"/>
    </xf>
    <xf numFmtId="3" fontId="18" fillId="11" borderId="1" xfId="0" quotePrefix="1" applyNumberFormat="1" applyFont="1" applyFill="1" applyBorder="1" applyAlignment="1">
      <alignment vertical="center" wrapText="1"/>
    </xf>
    <xf numFmtId="0" fontId="24" fillId="11" borderId="0" xfId="0" applyFont="1" applyFill="1" applyBorder="1" applyAlignment="1">
      <alignment vertical="center" wrapText="1"/>
    </xf>
    <xf numFmtId="10" fontId="24" fillId="11" borderId="0" xfId="0" applyNumberFormat="1" applyFont="1" applyFill="1" applyBorder="1" applyAlignment="1">
      <alignment vertical="center" wrapText="1"/>
    </xf>
    <xf numFmtId="49" fontId="96" fillId="11" borderId="0" xfId="0" applyNumberFormat="1" applyFont="1" applyFill="1" applyAlignment="1">
      <alignment horizontal="left" vertical="center" wrapText="1"/>
    </xf>
    <xf numFmtId="10" fontId="96" fillId="11" borderId="0" xfId="0" applyNumberFormat="1" applyFont="1" applyFill="1" applyAlignment="1">
      <alignment horizontal="left" vertical="center" wrapText="1"/>
    </xf>
    <xf numFmtId="165" fontId="77" fillId="6" borderId="54" xfId="10" applyNumberFormat="1" applyFont="1" applyFill="1" applyBorder="1" applyProtection="1">
      <alignment vertical="center"/>
    </xf>
    <xf numFmtId="165" fontId="77" fillId="6" borderId="49" xfId="10" applyNumberFormat="1" applyFont="1" applyFill="1" applyBorder="1" applyAlignment="1" applyProtection="1">
      <alignment horizontal="right" vertical="center" wrapText="1"/>
    </xf>
    <xf numFmtId="0" fontId="9" fillId="0" borderId="1" xfId="24" applyFont="1" applyBorder="1" applyAlignment="1">
      <alignment horizontal="center" vertical="center" wrapText="1"/>
    </xf>
    <xf numFmtId="0" fontId="86" fillId="0" borderId="1" xfId="24" applyFont="1" applyBorder="1" applyAlignment="1">
      <alignment horizontal="center" vertical="center" wrapText="1"/>
    </xf>
    <xf numFmtId="49" fontId="9" fillId="0" borderId="1" xfId="24" applyNumberFormat="1" applyFont="1" applyBorder="1" applyAlignment="1">
      <alignment horizontal="center" vertical="center" wrapText="1"/>
    </xf>
    <xf numFmtId="0" fontId="9" fillId="0" borderId="1" xfId="24" applyFont="1" applyBorder="1" applyAlignment="1">
      <alignment horizontal="left" vertical="center" wrapText="1"/>
    </xf>
    <xf numFmtId="3" fontId="23" fillId="11" borderId="1" xfId="24" applyNumberFormat="1" applyFont="1" applyFill="1" applyBorder="1" applyAlignment="1">
      <alignment wrapText="1"/>
    </xf>
    <xf numFmtId="10" fontId="23" fillId="11" borderId="1" xfId="24" applyNumberFormat="1" applyFont="1" applyFill="1" applyBorder="1" applyAlignment="1">
      <alignment wrapText="1"/>
    </xf>
    <xf numFmtId="3" fontId="82" fillId="0" borderId="1" xfId="0" applyNumberFormat="1" applyFont="1" applyBorder="1"/>
    <xf numFmtId="10" fontId="82" fillId="0" borderId="1" xfId="0" applyNumberFormat="1" applyFont="1" applyBorder="1"/>
    <xf numFmtId="0" fontId="9" fillId="0" borderId="1" xfId="25" applyFont="1" applyFill="1" applyBorder="1" applyAlignment="1">
      <alignment horizontal="center" vertical="center" wrapText="1"/>
    </xf>
    <xf numFmtId="49" fontId="30" fillId="0" borderId="1" xfId="24" applyNumberFormat="1" applyFont="1" applyFill="1" applyBorder="1" applyAlignment="1">
      <alignment wrapText="1"/>
    </xf>
    <xf numFmtId="3" fontId="23" fillId="11" borderId="1" xfId="24" quotePrefix="1" applyNumberFormat="1" applyFont="1" applyFill="1" applyBorder="1" applyAlignment="1"/>
    <xf numFmtId="0" fontId="23" fillId="11" borderId="1" xfId="24" quotePrefix="1" applyFont="1" applyFill="1" applyBorder="1" applyAlignment="1"/>
    <xf numFmtId="0" fontId="9" fillId="0" borderId="1" xfId="25" applyFont="1" applyFill="1" applyBorder="1" applyAlignment="1">
      <alignment horizontal="left" vertical="center" wrapText="1"/>
    </xf>
    <xf numFmtId="0" fontId="30" fillId="0" borderId="1" xfId="25" applyFont="1" applyFill="1" applyBorder="1" applyAlignment="1">
      <alignment horizontal="center" vertical="center" wrapText="1"/>
    </xf>
    <xf numFmtId="0" fontId="30" fillId="0" borderId="1" xfId="25" applyFont="1" applyFill="1" applyBorder="1" applyAlignment="1">
      <alignment vertical="center" wrapText="1"/>
    </xf>
    <xf numFmtId="0" fontId="30" fillId="0" borderId="1" xfId="25" applyFont="1" applyFill="1" applyBorder="1" applyAlignment="1">
      <alignment horizontal="left" vertical="center" wrapText="1"/>
    </xf>
    <xf numFmtId="0" fontId="9" fillId="2" borderId="1" xfId="25" applyFont="1" applyFill="1" applyBorder="1" applyAlignment="1">
      <alignment horizontal="center" vertical="center" wrapText="1"/>
    </xf>
    <xf numFmtId="0" fontId="9" fillId="2" borderId="1" xfId="25" applyFont="1" applyFill="1" applyBorder="1" applyAlignment="1">
      <alignment horizontal="left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left" vertical="top" wrapText="1"/>
    </xf>
    <xf numFmtId="0" fontId="23" fillId="0" borderId="1" xfId="24" applyFont="1" applyFill="1" applyBorder="1" applyAlignment="1">
      <alignment horizontal="left" vertical="center"/>
    </xf>
    <xf numFmtId="0" fontId="9" fillId="0" borderId="12" xfId="24" applyFont="1" applyFill="1" applyBorder="1" applyAlignment="1">
      <alignment horizontal="left" vertical="center" wrapText="1"/>
    </xf>
    <xf numFmtId="3" fontId="23" fillId="11" borderId="1" xfId="24" quotePrefix="1" applyNumberFormat="1" applyFont="1" applyFill="1" applyBorder="1" applyAlignment="1">
      <alignment wrapText="1"/>
    </xf>
    <xf numFmtId="3" fontId="34" fillId="11" borderId="1" xfId="24" quotePrefix="1" applyNumberFormat="1" applyFont="1" applyFill="1" applyBorder="1" applyAlignment="1">
      <alignment wrapText="1"/>
    </xf>
    <xf numFmtId="3" fontId="24" fillId="19" borderId="1" xfId="21" applyNumberFormat="1" applyFont="1" applyFill="1" applyBorder="1" applyAlignment="1">
      <alignment horizontal="center" wrapText="1"/>
    </xf>
    <xf numFmtId="3" fontId="24" fillId="10" borderId="1" xfId="21" applyNumberFormat="1" applyFont="1" applyFill="1" applyBorder="1" applyAlignment="1">
      <alignment horizontal="center" wrapText="1"/>
    </xf>
    <xf numFmtId="0" fontId="23" fillId="11" borderId="1" xfId="26" applyFont="1" applyFill="1" applyBorder="1" applyAlignment="1">
      <alignment horizontal="left" vertical="center"/>
    </xf>
    <xf numFmtId="0" fontId="9" fillId="0" borderId="1" xfId="26" quotePrefix="1" applyFont="1" applyFill="1" applyBorder="1" applyAlignment="1">
      <alignment horizontal="center" vertical="center" wrapText="1"/>
    </xf>
    <xf numFmtId="49" fontId="9" fillId="11" borderId="1" xfId="26" applyNumberFormat="1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wrapText="1"/>
    </xf>
    <xf numFmtId="3" fontId="9" fillId="11" borderId="1" xfId="26" quotePrefix="1" applyNumberFormat="1" applyFont="1" applyFill="1" applyBorder="1" applyAlignment="1">
      <alignment horizontal="right" wrapText="1"/>
    </xf>
    <xf numFmtId="3" fontId="9" fillId="19" borderId="1" xfId="26" quotePrefix="1" applyNumberFormat="1" applyFont="1" applyFill="1" applyBorder="1" applyAlignment="1">
      <alignment horizontal="right" wrapText="1"/>
    </xf>
    <xf numFmtId="10" fontId="9" fillId="11" borderId="1" xfId="26" quotePrefix="1" applyNumberFormat="1" applyFont="1" applyFill="1" applyBorder="1" applyAlignment="1">
      <alignment horizontal="right" wrapText="1"/>
    </xf>
    <xf numFmtId="3" fontId="9" fillId="10" borderId="1" xfId="26" quotePrefix="1" applyNumberFormat="1" applyFont="1" applyFill="1" applyBorder="1" applyAlignment="1">
      <alignment horizontal="right" wrapText="1"/>
    </xf>
    <xf numFmtId="0" fontId="9" fillId="0" borderId="1" xfId="26" applyFont="1" applyFill="1" applyBorder="1" applyAlignment="1">
      <alignment horizontal="left" vertical="center" wrapText="1"/>
    </xf>
    <xf numFmtId="0" fontId="18" fillId="11" borderId="1" xfId="27" applyFont="1" applyFill="1" applyBorder="1" applyAlignment="1">
      <alignment horizontal="center" vertical="center" wrapText="1"/>
    </xf>
    <xf numFmtId="0" fontId="102" fillId="0" borderId="1" xfId="27" applyFont="1" applyBorder="1" applyAlignment="1">
      <alignment horizontal="left" vertical="center" wrapText="1"/>
    </xf>
    <xf numFmtId="3" fontId="18" fillId="11" borderId="1" xfId="26" quotePrefix="1" applyNumberFormat="1" applyFont="1" applyFill="1" applyBorder="1" applyAlignment="1">
      <alignment horizontal="right"/>
    </xf>
    <xf numFmtId="3" fontId="18" fillId="19" borderId="1" xfId="26" quotePrefix="1" applyNumberFormat="1" applyFont="1" applyFill="1" applyBorder="1" applyAlignment="1">
      <alignment horizontal="right"/>
    </xf>
    <xf numFmtId="3" fontId="18" fillId="10" borderId="1" xfId="26" quotePrefix="1" applyNumberFormat="1" applyFont="1" applyFill="1" applyBorder="1" applyAlignment="1">
      <alignment horizontal="right"/>
    </xf>
    <xf numFmtId="3" fontId="9" fillId="11" borderId="1" xfId="26" quotePrefix="1" applyNumberFormat="1" applyFont="1" applyFill="1" applyBorder="1" applyAlignment="1">
      <alignment horizontal="right"/>
    </xf>
    <xf numFmtId="0" fontId="18" fillId="11" borderId="1" xfId="26" applyFont="1" applyFill="1" applyBorder="1" applyAlignment="1">
      <alignment horizontal="center" vertical="center" wrapText="1"/>
    </xf>
    <xf numFmtId="0" fontId="18" fillId="0" borderId="1" xfId="26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0" fontId="18" fillId="0" borderId="1" xfId="26" applyFont="1" applyFill="1" applyBorder="1" applyAlignment="1">
      <alignment horizontal="left" vertical="center" wrapText="1"/>
    </xf>
    <xf numFmtId="0" fontId="18" fillId="0" borderId="1" xfId="26" applyFont="1" applyFill="1" applyBorder="1" applyAlignment="1">
      <alignment vertical="center" wrapText="1"/>
    </xf>
    <xf numFmtId="0" fontId="102" fillId="11" borderId="1" xfId="27" applyFont="1" applyFill="1" applyBorder="1" applyAlignment="1">
      <alignment horizontal="center" vertical="center" wrapText="1"/>
    </xf>
    <xf numFmtId="0" fontId="18" fillId="11" borderId="1" xfId="27" applyFont="1" applyFill="1" applyBorder="1" applyAlignment="1">
      <alignment horizontal="left" vertical="center" wrapText="1"/>
    </xf>
    <xf numFmtId="0" fontId="18" fillId="0" borderId="1" xfId="26" applyFont="1" applyBorder="1" applyAlignment="1">
      <alignment horizontal="left" vertical="top" wrapText="1"/>
    </xf>
    <xf numFmtId="0" fontId="18" fillId="0" borderId="12" xfId="26" applyFont="1" applyBorder="1" applyAlignment="1">
      <alignment horizontal="left" vertical="center" wrapText="1"/>
    </xf>
    <xf numFmtId="0" fontId="94" fillId="11" borderId="1" xfId="26" applyFont="1" applyFill="1" applyBorder="1" applyAlignment="1">
      <alignment horizontal="left" vertical="center"/>
    </xf>
    <xf numFmtId="0" fontId="90" fillId="0" borderId="12" xfId="26" applyFont="1" applyFill="1" applyBorder="1" applyAlignment="1">
      <alignment horizontal="left" vertical="center" wrapText="1"/>
    </xf>
    <xf numFmtId="10" fontId="18" fillId="11" borderId="1" xfId="26" quotePrefix="1" applyNumberFormat="1" applyFont="1" applyFill="1" applyBorder="1" applyAlignment="1">
      <alignment horizontal="right"/>
    </xf>
    <xf numFmtId="3" fontId="18" fillId="11" borderId="1" xfId="26" quotePrefix="1" applyNumberFormat="1" applyFont="1" applyFill="1" applyBorder="1" applyAlignment="1">
      <alignment horizontal="right" wrapText="1"/>
    </xf>
    <xf numFmtId="3" fontId="18" fillId="10" borderId="1" xfId="26" applyNumberFormat="1" applyFont="1" applyFill="1" applyBorder="1" applyAlignment="1">
      <alignment horizontal="right" wrapText="1"/>
    </xf>
    <xf numFmtId="10" fontId="18" fillId="11" borderId="1" xfId="26" quotePrefix="1" applyNumberFormat="1" applyFont="1" applyFill="1" applyBorder="1" applyAlignment="1">
      <alignment horizontal="right" wrapText="1"/>
    </xf>
    <xf numFmtId="3" fontId="18" fillId="10" borderId="1" xfId="26" quotePrefix="1" applyNumberFormat="1" applyFont="1" applyFill="1" applyBorder="1" applyAlignment="1">
      <alignment horizontal="right" wrapText="1"/>
    </xf>
    <xf numFmtId="0" fontId="94" fillId="11" borderId="22" xfId="26" applyFont="1" applyFill="1" applyBorder="1" applyAlignment="1">
      <alignment horizontal="right" vertical="center"/>
    </xf>
    <xf numFmtId="0" fontId="86" fillId="0" borderId="1" xfId="26" applyFont="1" applyFill="1" applyBorder="1" applyAlignment="1">
      <alignment horizontal="left" vertical="center" wrapText="1"/>
    </xf>
    <xf numFmtId="0" fontId="86" fillId="0" borderId="12" xfId="26" applyFont="1" applyFill="1" applyBorder="1" applyAlignment="1">
      <alignment horizontal="left" vertical="center" wrapText="1"/>
    </xf>
    <xf numFmtId="0" fontId="23" fillId="11" borderId="1" xfId="28" applyFont="1" applyFill="1" applyBorder="1" applyAlignment="1">
      <alignment horizontal="left" vertical="center"/>
    </xf>
    <xf numFmtId="0" fontId="21" fillId="0" borderId="1" xfId="28" applyFont="1" applyFill="1" applyBorder="1" applyAlignment="1">
      <alignment horizontal="center" vertical="center" wrapText="1"/>
    </xf>
    <xf numFmtId="0" fontId="18" fillId="11" borderId="1" xfId="29" applyFont="1" applyFill="1" applyBorder="1" applyAlignment="1">
      <alignment horizontal="center" vertical="center" wrapText="1"/>
    </xf>
    <xf numFmtId="0" fontId="18" fillId="0" borderId="1" xfId="29" applyFont="1" applyFill="1" applyBorder="1" applyAlignment="1">
      <alignment horizontal="left" vertical="center" wrapText="1"/>
    </xf>
    <xf numFmtId="3" fontId="18" fillId="11" borderId="1" xfId="28" quotePrefix="1" applyNumberFormat="1" applyFont="1" applyFill="1" applyBorder="1" applyAlignment="1"/>
    <xf numFmtId="10" fontId="18" fillId="11" borderId="1" xfId="28" quotePrefix="1" applyNumberFormat="1" applyFont="1" applyFill="1" applyBorder="1" applyAlignment="1"/>
    <xf numFmtId="3" fontId="9" fillId="11" borderId="1" xfId="28" quotePrefix="1" applyNumberFormat="1" applyFont="1" applyFill="1" applyBorder="1" applyAlignment="1"/>
    <xf numFmtId="10" fontId="0" fillId="11" borderId="1" xfId="0" applyNumberFormat="1" applyFill="1" applyBorder="1"/>
    <xf numFmtId="0" fontId="18" fillId="11" borderId="1" xfId="28" applyFont="1" applyFill="1" applyBorder="1" applyAlignment="1">
      <alignment horizontal="center" vertical="center" wrapText="1"/>
    </xf>
    <xf numFmtId="3" fontId="18" fillId="11" borderId="1" xfId="28" quotePrefix="1" applyNumberFormat="1" applyFont="1" applyFill="1" applyBorder="1" applyAlignment="1">
      <alignment wrapText="1"/>
    </xf>
    <xf numFmtId="0" fontId="18" fillId="11" borderId="11" xfId="29" applyFont="1" applyFill="1" applyBorder="1" applyAlignment="1">
      <alignment horizontal="center" vertical="center" wrapText="1"/>
    </xf>
    <xf numFmtId="0" fontId="81" fillId="0" borderId="11" xfId="28" applyFont="1" applyFill="1" applyBorder="1" applyAlignment="1">
      <alignment horizontal="left" vertical="center" wrapText="1"/>
    </xf>
    <xf numFmtId="0" fontId="18" fillId="0" borderId="1" xfId="28" applyFont="1" applyFill="1" applyBorder="1" applyAlignment="1">
      <alignment horizontal="left" vertical="center" wrapText="1"/>
    </xf>
    <xf numFmtId="0" fontId="81" fillId="0" borderId="1" xfId="29" applyFont="1" applyFill="1" applyBorder="1" applyAlignment="1">
      <alignment horizontal="left" vertical="center" wrapText="1"/>
    </xf>
    <xf numFmtId="0" fontId="18" fillId="2" borderId="1" xfId="29" applyFont="1" applyFill="1" applyBorder="1" applyAlignment="1">
      <alignment horizontal="left" vertical="center" wrapText="1"/>
    </xf>
    <xf numFmtId="0" fontId="18" fillId="11" borderId="1" xfId="28" applyFont="1" applyFill="1" applyBorder="1" applyAlignment="1">
      <alignment horizontal="center" vertical="center"/>
    </xf>
    <xf numFmtId="0" fontId="18" fillId="0" borderId="1" xfId="28" quotePrefix="1" applyFont="1" applyFill="1" applyBorder="1" applyAlignment="1">
      <alignment horizontal="left" vertical="center" wrapText="1"/>
    </xf>
    <xf numFmtId="3" fontId="9" fillId="11" borderId="11" xfId="28" quotePrefix="1" applyNumberFormat="1" applyFont="1" applyFill="1" applyBorder="1" applyAlignment="1">
      <alignment wrapText="1"/>
    </xf>
    <xf numFmtId="10" fontId="9" fillId="11" borderId="11" xfId="28" quotePrefix="1" applyNumberFormat="1" applyFont="1" applyFill="1" applyBorder="1" applyAlignment="1">
      <alignment wrapText="1"/>
    </xf>
    <xf numFmtId="3" fontId="9" fillId="11" borderId="11" xfId="28" quotePrefix="1" applyNumberFormat="1" applyFont="1" applyFill="1" applyBorder="1" applyAlignment="1"/>
    <xf numFmtId="10" fontId="9" fillId="11" borderId="11" xfId="28" quotePrefix="1" applyNumberFormat="1" applyFont="1" applyFill="1" applyBorder="1" applyAlignment="1"/>
    <xf numFmtId="3" fontId="9" fillId="11" borderId="1" xfId="28" quotePrefix="1" applyNumberFormat="1" applyFont="1" applyFill="1" applyBorder="1" applyAlignment="1">
      <alignment wrapText="1"/>
    </xf>
    <xf numFmtId="10" fontId="9" fillId="11" borderId="1" xfId="28" quotePrefix="1" applyNumberFormat="1" applyFont="1" applyFill="1" applyBorder="1" applyAlignment="1">
      <alignment wrapText="1"/>
    </xf>
    <xf numFmtId="10" fontId="9" fillId="11" borderId="1" xfId="28" quotePrefix="1" applyNumberFormat="1" applyFont="1" applyFill="1" applyBorder="1" applyAlignment="1"/>
    <xf numFmtId="10" fontId="18" fillId="11" borderId="1" xfId="28" quotePrefix="1" applyNumberFormat="1" applyFont="1" applyFill="1" applyBorder="1" applyAlignment="1">
      <alignment wrapText="1"/>
    </xf>
    <xf numFmtId="3" fontId="18" fillId="11" borderId="11" xfId="28" quotePrefix="1" applyNumberFormat="1" applyFont="1" applyFill="1" applyBorder="1" applyAlignment="1"/>
    <xf numFmtId="10" fontId="18" fillId="11" borderId="11" xfId="28" quotePrefix="1" applyNumberFormat="1" applyFont="1" applyFill="1" applyBorder="1" applyAlignment="1"/>
    <xf numFmtId="3" fontId="104" fillId="11" borderId="1" xfId="28" quotePrefix="1" applyNumberFormat="1" applyFont="1" applyFill="1" applyBorder="1" applyAlignment="1"/>
    <xf numFmtId="0" fontId="102" fillId="0" borderId="1" xfId="29" applyFont="1" applyFill="1" applyBorder="1" applyAlignment="1">
      <alignment horizontal="left" vertical="center" wrapText="1"/>
    </xf>
    <xf numFmtId="3" fontId="81" fillId="11" borderId="1" xfId="28" quotePrefix="1" applyNumberFormat="1" applyFont="1" applyFill="1" applyBorder="1" applyAlignment="1">
      <alignment wrapText="1"/>
    </xf>
    <xf numFmtId="0" fontId="102" fillId="0" borderId="1" xfId="28" applyFont="1" applyFill="1" applyBorder="1" applyAlignment="1">
      <alignment horizontal="left" vertical="center" wrapText="1"/>
    </xf>
    <xf numFmtId="0" fontId="18" fillId="2" borderId="1" xfId="28" applyFont="1" applyFill="1" applyBorder="1" applyAlignment="1">
      <alignment horizontal="left" vertical="center" wrapText="1"/>
    </xf>
    <xf numFmtId="49" fontId="102" fillId="0" borderId="1" xfId="28" applyNumberFormat="1" applyFont="1" applyFill="1" applyBorder="1" applyAlignment="1">
      <alignment horizontal="left" vertical="center" wrapText="1"/>
    </xf>
    <xf numFmtId="0" fontId="102" fillId="2" borderId="1" xfId="28" applyFont="1" applyFill="1" applyBorder="1" applyAlignment="1">
      <alignment horizontal="left" vertical="center" wrapText="1"/>
    </xf>
    <xf numFmtId="49" fontId="102" fillId="11" borderId="1" xfId="28" applyNumberFormat="1" applyFont="1" applyFill="1" applyBorder="1" applyAlignment="1">
      <alignment horizontal="center" vertical="center" wrapText="1"/>
    </xf>
    <xf numFmtId="49" fontId="102" fillId="11" borderId="1" xfId="28" applyNumberFormat="1" applyFont="1" applyFill="1" applyBorder="1" applyAlignment="1">
      <alignment horizontal="center" vertical="center"/>
    </xf>
    <xf numFmtId="3" fontId="18" fillId="11" borderId="1" xfId="28" applyNumberFormat="1" applyFont="1" applyFill="1" applyBorder="1" applyAlignment="1"/>
    <xf numFmtId="49" fontId="18" fillId="0" borderId="1" xfId="28" applyNumberFormat="1" applyFont="1" applyFill="1" applyBorder="1" applyAlignment="1">
      <alignment horizontal="left" vertical="center" wrapText="1"/>
    </xf>
    <xf numFmtId="49" fontId="18" fillId="11" borderId="1" xfId="28" applyNumberFormat="1" applyFont="1" applyFill="1" applyBorder="1" applyAlignment="1">
      <alignment horizontal="center"/>
    </xf>
    <xf numFmtId="2" fontId="18" fillId="2" borderId="1" xfId="28" applyNumberFormat="1" applyFont="1" applyFill="1" applyBorder="1" applyAlignment="1">
      <alignment vertical="center" wrapText="1"/>
    </xf>
    <xf numFmtId="2" fontId="18" fillId="0" borderId="1" xfId="29" applyNumberFormat="1" applyFont="1" applyFill="1" applyBorder="1" applyAlignment="1">
      <alignment horizontal="left" vertical="center" wrapText="1"/>
    </xf>
    <xf numFmtId="2" fontId="18" fillId="0" borderId="1" xfId="28" applyNumberFormat="1" applyFont="1" applyFill="1" applyBorder="1" applyAlignment="1">
      <alignment horizontal="left" vertical="center" wrapText="1"/>
    </xf>
    <xf numFmtId="0" fontId="18" fillId="0" borderId="1" xfId="28" applyFont="1" applyFill="1" applyBorder="1" applyAlignment="1">
      <alignment horizontal="left" vertical="top" wrapText="1"/>
    </xf>
    <xf numFmtId="49" fontId="18" fillId="0" borderId="1" xfId="28" applyNumberFormat="1" applyFont="1" applyBorder="1" applyAlignment="1">
      <alignment wrapText="1"/>
    </xf>
    <xf numFmtId="10" fontId="81" fillId="11" borderId="1" xfId="28" quotePrefix="1" applyNumberFormat="1" applyFont="1" applyFill="1" applyBorder="1" applyAlignment="1">
      <alignment wrapText="1"/>
    </xf>
    <xf numFmtId="0" fontId="81" fillId="0" borderId="1" xfId="28" applyFont="1" applyFill="1" applyBorder="1" applyAlignment="1">
      <alignment horizontal="left" vertical="center" wrapText="1"/>
    </xf>
    <xf numFmtId="3" fontId="81" fillId="11" borderId="1" xfId="28" applyNumberFormat="1" applyFont="1" applyFill="1" applyBorder="1" applyAlignment="1"/>
    <xf numFmtId="3" fontId="0" fillId="11" borderId="1" xfId="0" applyNumberFormat="1" applyFill="1" applyBorder="1" applyAlignment="1"/>
    <xf numFmtId="0" fontId="0" fillId="11" borderId="1" xfId="0" applyFill="1" applyBorder="1" applyAlignment="1"/>
    <xf numFmtId="0" fontId="23" fillId="0" borderId="1" xfId="30" applyFont="1" applyFill="1" applyBorder="1" applyAlignment="1">
      <alignment horizontal="left" vertical="center"/>
    </xf>
    <xf numFmtId="0" fontId="79" fillId="0" borderId="12" xfId="30" applyFont="1" applyFill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1" xfId="31" applyFont="1" applyBorder="1" applyAlignment="1">
      <alignment horizontal="left" vertical="center" wrapText="1"/>
    </xf>
    <xf numFmtId="3" fontId="18" fillId="11" borderId="11" xfId="30" quotePrefix="1" applyNumberFormat="1" applyFont="1" applyFill="1" applyBorder="1" applyAlignment="1">
      <alignment horizontal="right" vertical="center"/>
    </xf>
    <xf numFmtId="10" fontId="18" fillId="11" borderId="11" xfId="30" quotePrefix="1" applyNumberFormat="1" applyFont="1" applyFill="1" applyBorder="1" applyAlignment="1">
      <alignment horizontal="right" vertical="center"/>
    </xf>
    <xf numFmtId="0" fontId="18" fillId="11" borderId="11" xfId="30" quotePrefix="1" applyFont="1" applyFill="1" applyBorder="1" applyAlignment="1">
      <alignment horizontal="center" vertical="center"/>
    </xf>
    <xf numFmtId="10" fontId="18" fillId="11" borderId="11" xfId="30" quotePrefix="1" applyNumberFormat="1" applyFont="1" applyFill="1" applyBorder="1" applyAlignment="1">
      <alignment horizontal="center" vertical="center"/>
    </xf>
    <xf numFmtId="3" fontId="9" fillId="11" borderId="11" xfId="30" quotePrefix="1" applyNumberFormat="1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wrapText="1"/>
    </xf>
    <xf numFmtId="3" fontId="18" fillId="11" borderId="1" xfId="30" quotePrefix="1" applyNumberFormat="1" applyFont="1" applyFill="1" applyBorder="1" applyAlignment="1">
      <alignment horizontal="right" vertical="center"/>
    </xf>
    <xf numFmtId="0" fontId="18" fillId="11" borderId="1" xfId="30" quotePrefix="1" applyFont="1" applyFill="1" applyBorder="1" applyAlignment="1">
      <alignment horizontal="center" vertical="center"/>
    </xf>
    <xf numFmtId="3" fontId="9" fillId="11" borderId="1" xfId="30" quotePrefix="1" applyNumberFormat="1" applyFont="1" applyFill="1" applyBorder="1" applyAlignment="1">
      <alignment horizontal="center" vertical="center"/>
    </xf>
    <xf numFmtId="0" fontId="18" fillId="11" borderId="1" xfId="30" quotePrefix="1" applyFont="1" applyFill="1" applyBorder="1" applyAlignment="1">
      <alignment horizontal="right" vertical="center"/>
    </xf>
    <xf numFmtId="3" fontId="18" fillId="11" borderId="1" xfId="30" quotePrefix="1" applyNumberFormat="1" applyFont="1" applyFill="1" applyBorder="1" applyAlignment="1">
      <alignment vertical="center"/>
    </xf>
    <xf numFmtId="49" fontId="105" fillId="0" borderId="1" xfId="30" applyNumberFormat="1" applyFont="1" applyFill="1" applyBorder="1" applyAlignment="1">
      <alignment wrapText="1"/>
    </xf>
    <xf numFmtId="0" fontId="7" fillId="0" borderId="1" xfId="31" applyFont="1" applyFill="1" applyBorder="1" applyAlignment="1">
      <alignment horizontal="center" vertical="center" wrapText="1"/>
    </xf>
    <xf numFmtId="49" fontId="93" fillId="0" borderId="1" xfId="30" applyNumberFormat="1" applyFont="1" applyBorder="1" applyAlignment="1">
      <alignment wrapText="1"/>
    </xf>
    <xf numFmtId="0" fontId="7" fillId="0" borderId="1" xfId="31" applyFont="1" applyBorder="1" applyAlignment="1">
      <alignment horizontal="left" vertical="top" wrapText="1"/>
    </xf>
    <xf numFmtId="0" fontId="7" fillId="0" borderId="1" xfId="30" applyFont="1" applyFill="1" applyBorder="1" applyAlignment="1">
      <alignment horizontal="left" vertical="top" wrapText="1"/>
    </xf>
    <xf numFmtId="0" fontId="7" fillId="0" borderId="1" xfId="30" applyFont="1" applyFill="1" applyBorder="1" applyAlignment="1">
      <alignment horizontal="center" vertical="top" wrapText="1"/>
    </xf>
    <xf numFmtId="0" fontId="7" fillId="0" borderId="1" xfId="31" applyFont="1" applyFill="1" applyBorder="1" applyAlignment="1">
      <alignment horizontal="left" vertical="top" wrapText="1"/>
    </xf>
    <xf numFmtId="0" fontId="106" fillId="0" borderId="1" xfId="30" applyFont="1" applyBorder="1" applyAlignment="1">
      <alignment horizontal="center" vertical="top" wrapText="1"/>
    </xf>
    <xf numFmtId="0" fontId="106" fillId="0" borderId="1" xfId="30" applyFont="1" applyBorder="1" applyAlignment="1">
      <alignment horizontal="left" vertical="top" wrapText="1"/>
    </xf>
    <xf numFmtId="0" fontId="7" fillId="0" borderId="1" xfId="30" applyFont="1" applyFill="1" applyBorder="1" applyAlignment="1">
      <alignment horizontal="center" wrapText="1"/>
    </xf>
    <xf numFmtId="0" fontId="7" fillId="0" borderId="1" xfId="30" applyFont="1" applyFill="1" applyBorder="1" applyAlignment="1">
      <alignment horizontal="left" wrapText="1"/>
    </xf>
    <xf numFmtId="0" fontId="7" fillId="0" borderId="1" xfId="31" applyFont="1" applyFill="1" applyBorder="1" applyAlignment="1">
      <alignment horizontal="center" wrapText="1"/>
    </xf>
    <xf numFmtId="0" fontId="7" fillId="0" borderId="1" xfId="31" applyFont="1" applyFill="1" applyBorder="1" applyAlignment="1">
      <alignment horizontal="left" wrapText="1"/>
    </xf>
    <xf numFmtId="0" fontId="23" fillId="0" borderId="17" xfId="30" applyFont="1" applyFill="1" applyBorder="1" applyAlignment="1">
      <alignment horizontal="left" vertical="center"/>
    </xf>
    <xf numFmtId="0" fontId="56" fillId="0" borderId="18" xfId="30" quotePrefix="1" applyFont="1" applyFill="1" applyBorder="1" applyAlignment="1">
      <alignment horizontal="left" vertical="center" wrapText="1"/>
    </xf>
    <xf numFmtId="3" fontId="37" fillId="11" borderId="1" xfId="30" quotePrefix="1" applyNumberFormat="1" applyFont="1" applyFill="1" applyBorder="1" applyAlignment="1">
      <alignment horizontal="center" vertical="center" wrapText="1"/>
    </xf>
    <xf numFmtId="0" fontId="56" fillId="0" borderId="1" xfId="30" quotePrefix="1" applyFont="1" applyFill="1" applyBorder="1" applyAlignment="1">
      <alignment horizontal="left" vertical="center" wrapText="1"/>
    </xf>
    <xf numFmtId="3" fontId="107" fillId="11" borderId="1" xfId="30" quotePrefix="1" applyNumberFormat="1" applyFont="1" applyFill="1" applyBorder="1" applyAlignment="1">
      <alignment horizontal="center" vertical="center" wrapText="1"/>
    </xf>
    <xf numFmtId="0" fontId="24" fillId="0" borderId="50" xfId="30" applyFont="1" applyFill="1" applyBorder="1" applyAlignment="1">
      <alignment vertical="center"/>
    </xf>
    <xf numFmtId="0" fontId="24" fillId="11" borderId="50" xfId="30" applyFont="1" applyFill="1" applyBorder="1" applyAlignment="1">
      <alignment vertical="center"/>
    </xf>
    <xf numFmtId="10" fontId="24" fillId="11" borderId="50" xfId="30" applyNumberFormat="1" applyFont="1" applyFill="1" applyBorder="1" applyAlignment="1">
      <alignment vertical="center"/>
    </xf>
    <xf numFmtId="0" fontId="23" fillId="11" borderId="1" xfId="32" applyFont="1" applyFill="1" applyBorder="1" applyAlignment="1">
      <alignment horizontal="left" vertical="center"/>
    </xf>
    <xf numFmtId="0" fontId="79" fillId="11" borderId="1" xfId="32" applyFont="1" applyFill="1" applyBorder="1" applyAlignment="1">
      <alignment horizontal="center" vertical="center" wrapText="1"/>
    </xf>
    <xf numFmtId="49" fontId="93" fillId="11" borderId="1" xfId="32" applyNumberFormat="1" applyFont="1" applyFill="1" applyBorder="1" applyAlignment="1">
      <alignment horizontal="center"/>
    </xf>
    <xf numFmtId="49" fontId="93" fillId="11" borderId="1" xfId="32" applyNumberFormat="1" applyFont="1" applyFill="1" applyBorder="1"/>
    <xf numFmtId="3" fontId="18" fillId="11" borderId="1" xfId="32" quotePrefix="1" applyNumberFormat="1" applyFont="1" applyFill="1" applyBorder="1" applyAlignment="1">
      <alignment horizontal="center" vertical="center"/>
    </xf>
    <xf numFmtId="3" fontId="18" fillId="11" borderId="12" xfId="32" quotePrefix="1" applyNumberFormat="1" applyFont="1" applyFill="1" applyBorder="1" applyAlignment="1">
      <alignment horizontal="center" vertical="center"/>
    </xf>
    <xf numFmtId="10" fontId="18" fillId="11" borderId="12" xfId="32" quotePrefix="1" applyNumberFormat="1" applyFont="1" applyFill="1" applyBorder="1" applyAlignment="1">
      <alignment horizontal="center" vertical="center"/>
    </xf>
    <xf numFmtId="3" fontId="9" fillId="11" borderId="16" xfId="32" quotePrefix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11" borderId="1" xfId="32" applyFont="1" applyFill="1" applyBorder="1" applyAlignment="1">
      <alignment horizontal="center" vertical="center" wrapText="1"/>
    </xf>
    <xf numFmtId="0" fontId="7" fillId="11" borderId="1" xfId="32" applyFont="1" applyFill="1" applyBorder="1" applyAlignment="1">
      <alignment horizontal="left" vertical="center" wrapText="1"/>
    </xf>
    <xf numFmtId="0" fontId="18" fillId="11" borderId="1" xfId="33" applyFont="1" applyFill="1" applyBorder="1" applyAlignment="1">
      <alignment horizontal="center" vertical="center" wrapText="1"/>
    </xf>
    <xf numFmtId="0" fontId="102" fillId="11" borderId="1" xfId="33" applyFont="1" applyFill="1" applyBorder="1" applyAlignment="1">
      <alignment horizontal="left" vertical="center" wrapText="1"/>
    </xf>
    <xf numFmtId="0" fontId="18" fillId="11" borderId="1" xfId="33" applyFont="1" applyFill="1" applyBorder="1" applyAlignment="1">
      <alignment horizontal="left" vertical="center" wrapText="1"/>
    </xf>
    <xf numFmtId="49" fontId="18" fillId="11" borderId="1" xfId="33" applyNumberFormat="1" applyFont="1" applyFill="1" applyBorder="1" applyAlignment="1">
      <alignment horizontal="center" vertical="center"/>
    </xf>
    <xf numFmtId="0" fontId="102" fillId="11" borderId="1" xfId="33" applyFont="1" applyFill="1" applyBorder="1" applyAlignment="1">
      <alignment horizontal="center" vertical="center" wrapText="1"/>
    </xf>
    <xf numFmtId="0" fontId="93" fillId="11" borderId="1" xfId="32" applyFont="1" applyFill="1" applyBorder="1" applyAlignment="1">
      <alignment horizontal="center" vertical="center" wrapText="1"/>
    </xf>
    <xf numFmtId="0" fontId="93" fillId="11" borderId="1" xfId="32" applyFont="1" applyFill="1" applyBorder="1" applyAlignment="1">
      <alignment horizontal="left" vertical="center" wrapText="1"/>
    </xf>
    <xf numFmtId="0" fontId="102" fillId="11" borderId="1" xfId="33" applyFont="1" applyFill="1" applyBorder="1" applyAlignment="1">
      <alignment vertical="center" wrapText="1"/>
    </xf>
    <xf numFmtId="0" fontId="16" fillId="11" borderId="1" xfId="32" applyFont="1" applyFill="1" applyBorder="1" applyAlignment="1">
      <alignment horizontal="center" vertical="center" wrapText="1"/>
    </xf>
    <xf numFmtId="0" fontId="16" fillId="11" borderId="1" xfId="32" applyFont="1" applyFill="1" applyBorder="1" applyAlignment="1">
      <alignment horizontal="left" vertical="center" wrapText="1"/>
    </xf>
    <xf numFmtId="0" fontId="2" fillId="11" borderId="1" xfId="32" applyFont="1" applyFill="1" applyBorder="1" applyAlignment="1">
      <alignment horizontal="center" vertical="center" wrapText="1"/>
    </xf>
    <xf numFmtId="0" fontId="2" fillId="11" borderId="1" xfId="32" applyFont="1" applyFill="1" applyBorder="1" applyAlignment="1">
      <alignment horizontal="left" vertical="center" wrapText="1"/>
    </xf>
    <xf numFmtId="0" fontId="7" fillId="11" borderId="1" xfId="32" applyFont="1" applyFill="1" applyBorder="1" applyAlignment="1">
      <alignment horizontal="left" vertical="top" wrapText="1"/>
    </xf>
    <xf numFmtId="3" fontId="18" fillId="11" borderId="1" xfId="32" applyNumberFormat="1" applyFont="1" applyFill="1" applyBorder="1" applyAlignment="1">
      <alignment horizontal="center" vertical="center"/>
    </xf>
    <xf numFmtId="3" fontId="18" fillId="11" borderId="12" xfId="32" applyNumberFormat="1" applyFont="1" applyFill="1" applyBorder="1" applyAlignment="1">
      <alignment horizontal="center" vertical="center"/>
    </xf>
    <xf numFmtId="0" fontId="7" fillId="11" borderId="1" xfId="32" applyFont="1" applyFill="1" applyBorder="1" applyAlignment="1">
      <alignment horizontal="center" vertical="top" wrapText="1"/>
    </xf>
    <xf numFmtId="3" fontId="18" fillId="11" borderId="12" xfId="32" quotePrefix="1" applyNumberFormat="1" applyFont="1" applyFill="1" applyBorder="1" applyAlignment="1">
      <alignment horizontal="left" vertical="center" wrapText="1"/>
    </xf>
    <xf numFmtId="0" fontId="23" fillId="11" borderId="17" xfId="32" applyFont="1" applyFill="1" applyBorder="1" applyAlignment="1">
      <alignment horizontal="left" vertical="center"/>
    </xf>
    <xf numFmtId="0" fontId="9" fillId="11" borderId="18" xfId="32" applyFont="1" applyFill="1" applyBorder="1" applyAlignment="1">
      <alignment horizontal="left" vertical="center" wrapText="1"/>
    </xf>
    <xf numFmtId="3" fontId="18" fillId="11" borderId="18" xfId="32" quotePrefix="1" applyNumberFormat="1" applyFont="1" applyFill="1" applyBorder="1" applyAlignment="1">
      <alignment horizontal="center" vertical="center" wrapText="1"/>
    </xf>
    <xf numFmtId="3" fontId="18" fillId="11" borderId="16" xfId="32" quotePrefix="1" applyNumberFormat="1" applyFont="1" applyFill="1" applyBorder="1" applyAlignment="1">
      <alignment horizontal="center" vertical="center" wrapText="1"/>
    </xf>
    <xf numFmtId="0" fontId="9" fillId="11" borderId="1" xfId="32" applyFont="1" applyFill="1" applyBorder="1" applyAlignment="1">
      <alignment horizontal="left" vertical="center" wrapText="1"/>
    </xf>
    <xf numFmtId="3" fontId="81" fillId="11" borderId="1" xfId="32" quotePrefix="1" applyNumberFormat="1" applyFont="1" applyFill="1" applyBorder="1" applyAlignment="1">
      <alignment horizontal="center" vertical="center"/>
    </xf>
    <xf numFmtId="3" fontId="81" fillId="11" borderId="16" xfId="32" quotePrefix="1" applyNumberFormat="1" applyFont="1" applyFill="1" applyBorder="1" applyAlignment="1">
      <alignment horizontal="center" vertical="center"/>
    </xf>
    <xf numFmtId="0" fontId="24" fillId="11" borderId="50" xfId="32" applyFont="1" applyFill="1" applyBorder="1" applyAlignment="1">
      <alignment vertical="center"/>
    </xf>
    <xf numFmtId="10" fontId="24" fillId="11" borderId="50" xfId="3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72" fillId="11" borderId="0" xfId="0" applyNumberFormat="1" applyFont="1" applyFill="1"/>
    <xf numFmtId="10" fontId="72" fillId="11" borderId="0" xfId="0" applyNumberFormat="1" applyFont="1" applyFill="1"/>
    <xf numFmtId="0" fontId="23" fillId="11" borderId="1" xfId="34" applyFont="1" applyFill="1" applyBorder="1" applyAlignment="1">
      <alignment horizontal="left" vertical="center"/>
    </xf>
    <xf numFmtId="0" fontId="9" fillId="0" borderId="12" xfId="34" quotePrefix="1" applyFont="1" applyFill="1" applyBorder="1" applyAlignment="1">
      <alignment horizontal="center" vertical="center" wrapText="1"/>
    </xf>
    <xf numFmtId="0" fontId="9" fillId="11" borderId="1" xfId="34" applyFont="1" applyFill="1" applyBorder="1" applyAlignment="1">
      <alignment horizontal="left" vertical="center"/>
    </xf>
    <xf numFmtId="0" fontId="9" fillId="0" borderId="12" xfId="34" applyFont="1" applyFill="1" applyBorder="1" applyAlignment="1">
      <alignment horizontal="left" vertical="center" wrapText="1"/>
    </xf>
    <xf numFmtId="3" fontId="9" fillId="11" borderId="12" xfId="34" quotePrefix="1" applyNumberFormat="1" applyFont="1" applyFill="1" applyBorder="1" applyAlignment="1">
      <alignment horizontal="left" vertical="center" wrapText="1"/>
    </xf>
    <xf numFmtId="10" fontId="9" fillId="11" borderId="12" xfId="34" quotePrefix="1" applyNumberFormat="1" applyFont="1" applyFill="1" applyBorder="1" applyAlignment="1">
      <alignment horizontal="left" vertical="center" wrapText="1"/>
    </xf>
    <xf numFmtId="3" fontId="9" fillId="11" borderId="12" xfId="34" quotePrefix="1" applyNumberFormat="1" applyFont="1" applyFill="1" applyBorder="1" applyAlignment="1">
      <alignment horizontal="center" vertical="center"/>
    </xf>
    <xf numFmtId="10" fontId="9" fillId="11" borderId="12" xfId="34" quotePrefix="1" applyNumberFormat="1" applyFont="1" applyFill="1" applyBorder="1" applyAlignment="1">
      <alignment horizontal="center" vertical="center"/>
    </xf>
    <xf numFmtId="3" fontId="9" fillId="11" borderId="1" xfId="34" quotePrefix="1" applyNumberFormat="1" applyFont="1" applyFill="1" applyBorder="1" applyAlignment="1">
      <alignment horizontal="center" vertical="center"/>
    </xf>
    <xf numFmtId="0" fontId="7" fillId="11" borderId="1" xfId="35" applyFont="1" applyFill="1" applyBorder="1" applyAlignment="1">
      <alignment horizontal="center" vertical="center" wrapText="1"/>
    </xf>
    <xf numFmtId="0" fontId="7" fillId="0" borderId="1" xfId="35" applyFont="1" applyBorder="1" applyAlignment="1">
      <alignment wrapText="1"/>
    </xf>
    <xf numFmtId="3" fontId="2" fillId="11" borderId="1" xfId="34" quotePrefix="1" applyNumberFormat="1" applyFont="1" applyFill="1" applyBorder="1" applyAlignment="1">
      <alignment horizontal="center" vertical="center"/>
    </xf>
    <xf numFmtId="3" fontId="2" fillId="11" borderId="12" xfId="34" quotePrefix="1" applyNumberFormat="1" applyFont="1" applyFill="1" applyBorder="1" applyAlignment="1">
      <alignment horizontal="center" vertical="center"/>
    </xf>
    <xf numFmtId="0" fontId="7" fillId="0" borderId="1" xfId="35" applyFont="1" applyBorder="1" applyAlignment="1">
      <alignment vertical="center" wrapText="1"/>
    </xf>
    <xf numFmtId="0" fontId="7" fillId="11" borderId="1" xfId="34" applyFont="1" applyFill="1" applyBorder="1" applyAlignment="1">
      <alignment horizontal="center" wrapText="1"/>
    </xf>
    <xf numFmtId="0" fontId="7" fillId="0" borderId="1" xfId="34" applyFont="1" applyBorder="1" applyAlignment="1">
      <alignment wrapText="1"/>
    </xf>
    <xf numFmtId="0" fontId="7" fillId="0" borderId="1" xfId="35" applyFont="1" applyFill="1" applyBorder="1" applyAlignment="1">
      <alignment vertical="center" wrapText="1"/>
    </xf>
    <xf numFmtId="3" fontId="2" fillId="11" borderId="12" xfId="34" quotePrefix="1" applyNumberFormat="1" applyFont="1" applyFill="1" applyBorder="1" applyAlignment="1">
      <alignment horizontal="center" vertical="center" wrapText="1"/>
    </xf>
    <xf numFmtId="0" fontId="93" fillId="11" borderId="1" xfId="35" applyFont="1" applyFill="1" applyBorder="1" applyAlignment="1">
      <alignment horizontal="center" vertical="center" wrapText="1"/>
    </xf>
    <xf numFmtId="0" fontId="93" fillId="0" borderId="1" xfId="35" applyFont="1" applyBorder="1" applyAlignment="1">
      <alignment horizontal="left" vertical="center" wrapText="1"/>
    </xf>
    <xf numFmtId="0" fontId="93" fillId="0" borderId="1" xfId="35" applyFont="1" applyBorder="1" applyAlignment="1">
      <alignment vertical="center" wrapText="1"/>
    </xf>
    <xf numFmtId="0" fontId="7" fillId="0" borderId="1" xfId="35" applyFont="1" applyFill="1" applyBorder="1" applyAlignment="1">
      <alignment horizontal="left" vertical="top" wrapText="1"/>
    </xf>
    <xf numFmtId="3" fontId="1" fillId="11" borderId="12" xfId="34" quotePrefix="1" applyNumberFormat="1" applyFont="1" applyFill="1" applyBorder="1" applyAlignment="1">
      <alignment horizontal="center" vertical="center" wrapText="1"/>
    </xf>
    <xf numFmtId="3" fontId="1" fillId="11" borderId="1" xfId="34" quotePrefix="1" applyNumberFormat="1" applyFont="1" applyFill="1" applyBorder="1" applyAlignment="1">
      <alignment horizontal="center" vertical="center" wrapText="1"/>
    </xf>
    <xf numFmtId="49" fontId="93" fillId="11" borderId="1" xfId="34" applyNumberFormat="1" applyFont="1" applyFill="1" applyBorder="1" applyAlignment="1">
      <alignment horizontal="center" vertical="center"/>
    </xf>
    <xf numFmtId="49" fontId="93" fillId="0" borderId="1" xfId="34" applyNumberFormat="1" applyFont="1" applyBorder="1" applyAlignment="1">
      <alignment vertical="center"/>
    </xf>
    <xf numFmtId="10" fontId="2" fillId="11" borderId="12" xfId="34" quotePrefix="1" applyNumberFormat="1" applyFont="1" applyFill="1" applyBorder="1" applyAlignment="1">
      <alignment horizontal="center" vertical="center"/>
    </xf>
    <xf numFmtId="0" fontId="7" fillId="0" borderId="1" xfId="34" applyFont="1" applyBorder="1" applyAlignment="1">
      <alignment horizontal="left" vertical="top" wrapText="1"/>
    </xf>
    <xf numFmtId="0" fontId="7" fillId="0" borderId="1" xfId="35" applyFont="1" applyBorder="1" applyAlignment="1">
      <alignment horizontal="left" vertical="center" wrapText="1"/>
    </xf>
    <xf numFmtId="49" fontId="7" fillId="11" borderId="1" xfId="35" applyNumberFormat="1" applyFont="1" applyFill="1" applyBorder="1" applyAlignment="1">
      <alignment horizontal="center" vertical="center" wrapText="1"/>
    </xf>
    <xf numFmtId="49" fontId="7" fillId="0" borderId="1" xfId="35" applyNumberFormat="1" applyFont="1" applyBorder="1" applyAlignment="1">
      <alignment vertical="center" wrapText="1"/>
    </xf>
    <xf numFmtId="3" fontId="109" fillId="11" borderId="12" xfId="34" quotePrefix="1" applyNumberFormat="1" applyFont="1" applyFill="1" applyBorder="1" applyAlignment="1">
      <alignment horizontal="center" vertical="center"/>
    </xf>
    <xf numFmtId="0" fontId="16" fillId="11" borderId="1" xfId="34" applyFont="1" applyFill="1" applyBorder="1" applyAlignment="1">
      <alignment horizontal="center" vertical="center" wrapText="1"/>
    </xf>
    <xf numFmtId="0" fontId="16" fillId="0" borderId="1" xfId="34" applyFont="1" applyBorder="1" applyAlignment="1">
      <alignment horizontal="left" vertical="center" wrapText="1"/>
    </xf>
    <xf numFmtId="0" fontId="93" fillId="0" borderId="1" xfId="35" applyFont="1" applyFill="1" applyBorder="1" applyAlignment="1">
      <alignment horizontal="left" vertical="center" wrapText="1"/>
    </xf>
    <xf numFmtId="0" fontId="16" fillId="0" borderId="1" xfId="34" applyFont="1" applyBorder="1" applyAlignment="1">
      <alignment vertical="center" wrapText="1"/>
    </xf>
    <xf numFmtId="0" fontId="93" fillId="0" borderId="1" xfId="35" applyFont="1" applyFill="1" applyBorder="1" applyAlignment="1">
      <alignment vertical="center" wrapText="1"/>
    </xf>
    <xf numFmtId="0" fontId="7" fillId="11" borderId="1" xfId="34" applyFont="1" applyFill="1" applyBorder="1" applyAlignment="1">
      <alignment horizontal="center" vertical="center" wrapText="1"/>
    </xf>
    <xf numFmtId="0" fontId="7" fillId="0" borderId="1" xfId="34" applyFont="1" applyFill="1" applyBorder="1" applyAlignment="1">
      <alignment vertical="center" wrapText="1"/>
    </xf>
    <xf numFmtId="0" fontId="93" fillId="0" borderId="1" xfId="34" applyFont="1" applyFill="1" applyBorder="1" applyAlignment="1">
      <alignment horizontal="left" wrapText="1"/>
    </xf>
    <xf numFmtId="49" fontId="18" fillId="11" borderId="1" xfId="19" applyNumberFormat="1" applyFont="1" applyFill="1" applyBorder="1" applyAlignment="1">
      <alignment vertical="center" wrapText="1"/>
    </xf>
    <xf numFmtId="3" fontId="7" fillId="11" borderId="1" xfId="19" applyNumberFormat="1" applyFont="1" applyFill="1" applyBorder="1" applyAlignment="1">
      <alignment vertical="center" wrapText="1"/>
    </xf>
    <xf numFmtId="0" fontId="7" fillId="0" borderId="1" xfId="34" applyFont="1" applyBorder="1" applyAlignment="1">
      <alignment horizontal="left"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110" fillId="11" borderId="1" xfId="34" applyFont="1" applyFill="1" applyBorder="1" applyAlignment="1">
      <alignment horizontal="center" vertical="center" wrapText="1"/>
    </xf>
    <xf numFmtId="0" fontId="110" fillId="0" borderId="1" xfId="34" applyFont="1" applyFill="1" applyBorder="1" applyAlignment="1">
      <alignment horizontal="left" vertical="top" wrapText="1"/>
    </xf>
    <xf numFmtId="0" fontId="110" fillId="11" borderId="1" xfId="35" applyFont="1" applyFill="1" applyBorder="1" applyAlignment="1">
      <alignment horizontal="center" vertical="center" wrapText="1"/>
    </xf>
    <xf numFmtId="0" fontId="2" fillId="11" borderId="1" xfId="35" applyFont="1" applyFill="1" applyBorder="1" applyAlignment="1">
      <alignment horizontal="center" vertical="center" wrapText="1"/>
    </xf>
    <xf numFmtId="0" fontId="7" fillId="11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left" vertical="center" wrapText="1"/>
    </xf>
    <xf numFmtId="0" fontId="16" fillId="0" borderId="1" xfId="34" applyFont="1" applyFill="1" applyBorder="1" applyAlignment="1">
      <alignment horizontal="left" vertical="center" wrapText="1"/>
    </xf>
    <xf numFmtId="3" fontId="0" fillId="0" borderId="0" xfId="0" applyNumberFormat="1"/>
    <xf numFmtId="2" fontId="93" fillId="11" borderId="1" xfId="34" applyNumberFormat="1" applyFont="1" applyFill="1" applyBorder="1" applyAlignment="1">
      <alignment horizontal="center" vertical="center"/>
    </xf>
    <xf numFmtId="0" fontId="111" fillId="0" borderId="1" xfId="34" applyFont="1" applyFill="1" applyBorder="1" applyAlignment="1">
      <alignment horizontal="center" vertical="center" wrapText="1"/>
    </xf>
    <xf numFmtId="10" fontId="2" fillId="11" borderId="1" xfId="34" quotePrefix="1" applyNumberFormat="1" applyFont="1" applyFill="1" applyBorder="1" applyAlignment="1">
      <alignment horizontal="center" vertical="center"/>
    </xf>
    <xf numFmtId="3" fontId="2" fillId="11" borderId="1" xfId="34" quotePrefix="1" applyNumberFormat="1" applyFont="1" applyFill="1" applyBorder="1" applyAlignment="1">
      <alignment horizontal="center" vertical="center" wrapText="1"/>
    </xf>
    <xf numFmtId="0" fontId="7" fillId="11" borderId="1" xfId="34" applyFont="1" applyFill="1" applyBorder="1" applyAlignment="1">
      <alignment horizontal="right" vertical="center" wrapText="1"/>
    </xf>
    <xf numFmtId="0" fontId="1" fillId="0" borderId="1" xfId="34" applyFont="1" applyFill="1" applyBorder="1" applyAlignment="1">
      <alignment horizontal="left" vertical="center" wrapText="1"/>
    </xf>
    <xf numFmtId="3" fontId="2" fillId="11" borderId="1" xfId="34" applyNumberFormat="1" applyFont="1" applyFill="1" applyBorder="1" applyAlignment="1">
      <alignment horizontal="center" vertical="center" wrapText="1"/>
    </xf>
    <xf numFmtId="10" fontId="2" fillId="11" borderId="1" xfId="34" applyNumberFormat="1" applyFont="1" applyFill="1" applyBorder="1" applyAlignment="1">
      <alignment horizontal="center" vertical="center" wrapText="1"/>
    </xf>
    <xf numFmtId="0" fontId="64" fillId="0" borderId="1" xfId="34" applyFont="1" applyFill="1" applyBorder="1" applyAlignment="1">
      <alignment horizontal="left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64" fillId="11" borderId="16" xfId="0" quotePrefix="1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left" vertical="center"/>
    </xf>
    <xf numFmtId="0" fontId="66" fillId="11" borderId="1" xfId="0" applyFont="1" applyFill="1" applyBorder="1" applyAlignment="1">
      <alignment horizontal="left" vertical="center" wrapText="1"/>
    </xf>
    <xf numFmtId="3" fontId="2" fillId="11" borderId="1" xfId="0" quotePrefix="1" applyNumberFormat="1" applyFont="1" applyFill="1" applyBorder="1" applyAlignment="1">
      <alignment horizontal="center" vertical="center"/>
    </xf>
    <xf numFmtId="10" fontId="2" fillId="11" borderId="1" xfId="0" quotePrefix="1" applyNumberFormat="1" applyFont="1" applyFill="1" applyBorder="1" applyAlignment="1">
      <alignment horizontal="center" vertical="center"/>
    </xf>
    <xf numFmtId="3" fontId="49" fillId="11" borderId="1" xfId="0" quotePrefix="1" applyNumberFormat="1" applyFont="1" applyFill="1" applyBorder="1" applyAlignment="1">
      <alignment horizontal="center" vertical="center"/>
    </xf>
    <xf numFmtId="10" fontId="49" fillId="11" borderId="1" xfId="0" quotePrefix="1" applyNumberFormat="1" applyFont="1" applyFill="1" applyBorder="1" applyAlignment="1">
      <alignment horizontal="center" vertical="center"/>
    </xf>
    <xf numFmtId="3" fontId="49" fillId="11" borderId="16" xfId="0" quotePrefix="1" applyNumberFormat="1" applyFont="1" applyFill="1" applyBorder="1" applyAlignment="1">
      <alignment horizontal="center" vertical="center"/>
    </xf>
    <xf numFmtId="10" fontId="0" fillId="11" borderId="1" xfId="0" applyNumberForma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93" fillId="11" borderId="1" xfId="19" applyFont="1" applyFill="1" applyBorder="1" applyAlignment="1">
      <alignment horizontal="center" vertical="center" wrapText="1"/>
    </xf>
    <xf numFmtId="0" fontId="93" fillId="11" borderId="1" xfId="19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7" fillId="11" borderId="16" xfId="19" applyFont="1" applyFill="1" applyBorder="1" applyAlignment="1">
      <alignment horizontal="left" vertical="center" wrapText="1"/>
    </xf>
    <xf numFmtId="3" fontId="2" fillId="11" borderId="1" xfId="0" applyNumberFormat="1" applyFont="1" applyFill="1" applyBorder="1" applyAlignment="1">
      <alignment horizontal="center" vertical="center"/>
    </xf>
    <xf numFmtId="3" fontId="49" fillId="11" borderId="1" xfId="0" applyNumberFormat="1" applyFont="1" applyFill="1" applyBorder="1" applyAlignment="1">
      <alignment horizontal="center" vertical="center"/>
    </xf>
    <xf numFmtId="0" fontId="7" fillId="11" borderId="16" xfId="19" applyFont="1" applyFill="1" applyBorder="1" applyAlignment="1">
      <alignment vertical="center" wrapText="1"/>
    </xf>
    <xf numFmtId="0" fontId="113" fillId="11" borderId="1" xfId="0" applyFont="1" applyFill="1" applyBorder="1"/>
    <xf numFmtId="0" fontId="113" fillId="11" borderId="1" xfId="0" applyFont="1" applyFill="1" applyBorder="1" applyAlignment="1">
      <alignment wrapText="1"/>
    </xf>
    <xf numFmtId="3" fontId="0" fillId="11" borderId="1" xfId="0" applyNumberForma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3" fontId="1" fillId="11" borderId="1" xfId="0" quotePrefix="1" applyNumberFormat="1" applyFont="1" applyFill="1" applyBorder="1" applyAlignment="1">
      <alignment horizontal="center" vertical="center"/>
    </xf>
    <xf numFmtId="3" fontId="1" fillId="11" borderId="16" xfId="0" quotePrefix="1" applyNumberFormat="1" applyFont="1" applyFill="1" applyBorder="1" applyAlignment="1">
      <alignment horizontal="center" vertical="center"/>
    </xf>
    <xf numFmtId="0" fontId="93" fillId="11" borderId="1" xfId="0" applyFont="1" applyFill="1" applyBorder="1" applyAlignment="1">
      <alignment horizontal="center" vertical="center"/>
    </xf>
    <xf numFmtId="0" fontId="95" fillId="11" borderId="1" xfId="0" applyFont="1" applyFill="1" applyBorder="1" applyAlignment="1">
      <alignment vertical="center" wrapText="1"/>
    </xf>
    <xf numFmtId="3" fontId="16" fillId="11" borderId="1" xfId="0" applyNumberFormat="1" applyFont="1" applyFill="1" applyBorder="1" applyAlignment="1">
      <alignment horizontal="center" vertical="center"/>
    </xf>
    <xf numFmtId="10" fontId="16" fillId="11" borderId="1" xfId="0" applyNumberFormat="1" applyFont="1" applyFill="1" applyBorder="1" applyAlignment="1">
      <alignment horizontal="center" vertical="center"/>
    </xf>
    <xf numFmtId="3" fontId="114" fillId="11" borderId="1" xfId="0" applyNumberFormat="1" applyFont="1" applyFill="1" applyBorder="1" applyAlignment="1">
      <alignment horizontal="center" vertical="center"/>
    </xf>
    <xf numFmtId="10" fontId="114" fillId="11" borderId="1" xfId="0" applyNumberFormat="1" applyFont="1" applyFill="1" applyBorder="1" applyAlignment="1">
      <alignment horizontal="center" vertical="center"/>
    </xf>
    <xf numFmtId="0" fontId="93" fillId="11" borderId="1" xfId="19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93" fillId="11" borderId="1" xfId="0" applyFont="1" applyFill="1" applyBorder="1" applyAlignment="1">
      <alignment horizontal="center" vertical="center" wrapText="1"/>
    </xf>
    <xf numFmtId="0" fontId="93" fillId="11" borderId="1" xfId="0" applyFont="1" applyFill="1" applyBorder="1" applyAlignment="1">
      <alignment horizontal="left" vertical="center" wrapText="1"/>
    </xf>
    <xf numFmtId="3" fontId="7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9" fillId="11" borderId="12" xfId="0" quotePrefix="1" applyFont="1" applyFill="1" applyBorder="1" applyAlignment="1">
      <alignment horizontal="left" vertical="center" wrapText="1"/>
    </xf>
    <xf numFmtId="49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3" fontId="9" fillId="11" borderId="1" xfId="0" quotePrefix="1" applyNumberFormat="1" applyFont="1" applyFill="1" applyBorder="1" applyAlignment="1">
      <alignment horizontal="center" vertical="center" wrapText="1"/>
    </xf>
    <xf numFmtId="10" fontId="9" fillId="11" borderId="1" xfId="0" quotePrefix="1" applyNumberFormat="1" applyFont="1" applyFill="1" applyBorder="1" applyAlignment="1">
      <alignment horizontal="center" vertical="center" wrapText="1"/>
    </xf>
    <xf numFmtId="3" fontId="9" fillId="11" borderId="16" xfId="0" quotePrefix="1" applyNumberFormat="1" applyFont="1" applyFill="1" applyBorder="1" applyAlignment="1">
      <alignment horizontal="center" vertical="center" wrapText="1"/>
    </xf>
    <xf numFmtId="49" fontId="93" fillId="11" borderId="1" xfId="0" applyNumberFormat="1" applyFont="1" applyFill="1" applyBorder="1" applyAlignment="1">
      <alignment wrapText="1"/>
    </xf>
    <xf numFmtId="49" fontId="7" fillId="11" borderId="1" xfId="19" applyNumberFormat="1" applyFont="1" applyFill="1" applyBorder="1" applyAlignment="1">
      <alignment vertical="center"/>
    </xf>
    <xf numFmtId="49" fontId="93" fillId="11" borderId="1" xfId="0" applyNumberFormat="1" applyFont="1" applyFill="1" applyBorder="1" applyAlignment="1">
      <alignment horizontal="center" vertical="center"/>
    </xf>
    <xf numFmtId="49" fontId="93" fillId="11" borderId="1" xfId="0" applyNumberFormat="1" applyFont="1" applyFill="1" applyBorder="1" applyAlignment="1">
      <alignment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9" fontId="7" fillId="11" borderId="1" xfId="0" applyNumberFormat="1" applyFont="1" applyFill="1" applyBorder="1" applyAlignment="1">
      <alignment vertical="center" wrapText="1"/>
    </xf>
    <xf numFmtId="49" fontId="93" fillId="11" borderId="1" xfId="0" applyNumberFormat="1" applyFont="1" applyFill="1" applyBorder="1" applyAlignment="1">
      <alignment vertical="center"/>
    </xf>
    <xf numFmtId="3" fontId="7" fillId="11" borderId="0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wrapText="1"/>
    </xf>
    <xf numFmtId="0" fontId="102" fillId="11" borderId="1" xfId="19" applyFont="1" applyFill="1" applyBorder="1" applyAlignment="1">
      <alignment horizontal="center" vertical="center" wrapText="1"/>
    </xf>
    <xf numFmtId="0" fontId="102" fillId="11" borderId="1" xfId="19" applyFont="1" applyFill="1" applyBorder="1" applyAlignment="1">
      <alignment horizontal="left" vertical="center" wrapText="1"/>
    </xf>
    <xf numFmtId="0" fontId="7" fillId="11" borderId="22" xfId="19" applyFont="1" applyFill="1" applyBorder="1" applyAlignment="1">
      <alignment horizontal="left" vertical="center" wrapText="1"/>
    </xf>
    <xf numFmtId="0" fontId="93" fillId="11" borderId="22" xfId="0" applyFont="1" applyFill="1" applyBorder="1" applyAlignment="1">
      <alignment vertical="center" wrapText="1"/>
    </xf>
    <xf numFmtId="3" fontId="1" fillId="11" borderId="1" xfId="0" applyNumberFormat="1" applyFont="1" applyFill="1" applyBorder="1" applyAlignment="1">
      <alignment horizontal="center" vertical="center"/>
    </xf>
    <xf numFmtId="3" fontId="1" fillId="11" borderId="16" xfId="0" applyNumberFormat="1" applyFont="1" applyFill="1" applyBorder="1" applyAlignment="1">
      <alignment horizontal="center" vertical="center"/>
    </xf>
    <xf numFmtId="0" fontId="111" fillId="11" borderId="1" xfId="0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/>
    <xf numFmtId="10" fontId="2" fillId="11" borderId="1" xfId="0" applyNumberFormat="1" applyFont="1" applyFill="1" applyBorder="1" applyAlignment="1">
      <alignment horizontal="center" vertical="center"/>
    </xf>
    <xf numFmtId="3" fontId="49" fillId="11" borderId="22" xfId="0" applyNumberFormat="1" applyFont="1" applyFill="1" applyBorder="1" applyAlignment="1">
      <alignment horizontal="center" vertical="center"/>
    </xf>
    <xf numFmtId="10" fontId="49" fillId="11" borderId="1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wrapText="1"/>
    </xf>
    <xf numFmtId="3" fontId="72" fillId="11" borderId="1" xfId="0" applyNumberFormat="1" applyFont="1" applyFill="1" applyBorder="1" applyAlignment="1">
      <alignment horizontal="center" vertical="center"/>
    </xf>
    <xf numFmtId="3" fontId="72" fillId="11" borderId="22" xfId="0" applyNumberFormat="1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horizontal="center"/>
    </xf>
    <xf numFmtId="3" fontId="49" fillId="11" borderId="16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vertical="top" wrapText="1"/>
    </xf>
    <xf numFmtId="0" fontId="7" fillId="11" borderId="12" xfId="0" applyFont="1" applyFill="1" applyBorder="1" applyAlignment="1">
      <alignment horizontal="left" vertical="top" wrapText="1"/>
    </xf>
    <xf numFmtId="3" fontId="2" fillId="11" borderId="12" xfId="0" applyNumberFormat="1" applyFont="1" applyFill="1" applyBorder="1" applyAlignment="1">
      <alignment horizontal="center" vertical="center"/>
    </xf>
    <xf numFmtId="3" fontId="49" fillId="11" borderId="12" xfId="0" applyNumberFormat="1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left" vertical="center" wrapText="1"/>
    </xf>
    <xf numFmtId="0" fontId="1" fillId="11" borderId="22" xfId="19" applyFont="1" applyFill="1" applyBorder="1" applyAlignment="1">
      <alignment horizontal="left" vertical="center" wrapText="1"/>
    </xf>
    <xf numFmtId="0" fontId="114" fillId="11" borderId="1" xfId="0" applyFont="1" applyFill="1" applyBorder="1" applyAlignment="1">
      <alignment horizontal="center" vertical="center"/>
    </xf>
    <xf numFmtId="0" fontId="114" fillId="11" borderId="22" xfId="0" applyFont="1" applyFill="1" applyBorder="1" applyAlignment="1">
      <alignment vertical="center" wrapText="1"/>
    </xf>
    <xf numFmtId="10" fontId="1" fillId="11" borderId="1" xfId="0" applyNumberFormat="1" applyFont="1" applyFill="1" applyBorder="1" applyAlignment="1">
      <alignment horizontal="center" vertical="center"/>
    </xf>
    <xf numFmtId="10" fontId="49" fillId="11" borderId="16" xfId="0" applyNumberFormat="1" applyFont="1" applyFill="1" applyBorder="1" applyAlignment="1">
      <alignment horizontal="center" vertical="center"/>
    </xf>
    <xf numFmtId="10" fontId="2" fillId="11" borderId="12" xfId="0" applyNumberFormat="1" applyFont="1" applyFill="1" applyBorder="1" applyAlignment="1">
      <alignment horizontal="center" vertical="center"/>
    </xf>
    <xf numFmtId="3" fontId="72" fillId="11" borderId="16" xfId="0" applyNumberFormat="1" applyFont="1" applyFill="1" applyBorder="1" applyAlignment="1">
      <alignment horizontal="center" vertical="center"/>
    </xf>
    <xf numFmtId="10" fontId="72" fillId="11" borderId="16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right" vertical="center" wrapText="1"/>
    </xf>
    <xf numFmtId="0" fontId="13" fillId="11" borderId="12" xfId="0" applyFont="1" applyFill="1" applyBorder="1" applyAlignment="1">
      <alignment horizontal="left" vertical="top" wrapText="1"/>
    </xf>
    <xf numFmtId="3" fontId="1" fillId="11" borderId="12" xfId="0" applyNumberFormat="1" applyFont="1" applyFill="1" applyBorder="1" applyAlignment="1">
      <alignment horizontal="center" vertical="center"/>
    </xf>
    <xf numFmtId="10" fontId="1" fillId="11" borderId="12" xfId="0" applyNumberFormat="1" applyFont="1" applyFill="1" applyBorder="1" applyAlignment="1">
      <alignment horizontal="center" vertical="center"/>
    </xf>
    <xf numFmtId="3" fontId="50" fillId="11" borderId="12" xfId="0" applyNumberFormat="1" applyFont="1" applyFill="1" applyBorder="1" applyAlignment="1">
      <alignment horizontal="center" vertical="center"/>
    </xf>
    <xf numFmtId="10" fontId="50" fillId="11" borderId="12" xfId="0" applyNumberFormat="1" applyFont="1" applyFill="1" applyBorder="1" applyAlignment="1">
      <alignment horizontal="center" vertical="center"/>
    </xf>
    <xf numFmtId="3" fontId="50" fillId="11" borderId="16" xfId="0" applyNumberFormat="1" applyFont="1" applyFill="1" applyBorder="1" applyAlignment="1">
      <alignment horizontal="center" vertical="center"/>
    </xf>
    <xf numFmtId="3" fontId="1" fillId="11" borderId="18" xfId="0" applyNumberFormat="1" applyFont="1" applyFill="1" applyBorder="1" applyAlignment="1">
      <alignment horizontal="center" vertical="center"/>
    </xf>
    <xf numFmtId="10" fontId="1" fillId="11" borderId="18" xfId="0" applyNumberFormat="1" applyFont="1" applyFill="1" applyBorder="1" applyAlignment="1">
      <alignment horizontal="center" vertical="center"/>
    </xf>
    <xf numFmtId="3" fontId="50" fillId="11" borderId="18" xfId="0" applyNumberFormat="1" applyFont="1" applyFill="1" applyBorder="1" applyAlignment="1">
      <alignment horizontal="center" vertical="center"/>
    </xf>
    <xf numFmtId="10" fontId="50" fillId="11" borderId="18" xfId="0" applyNumberFormat="1" applyFont="1" applyFill="1" applyBorder="1" applyAlignment="1">
      <alignment horizontal="center" vertical="center"/>
    </xf>
    <xf numFmtId="0" fontId="64" fillId="11" borderId="1" xfId="0" applyFont="1" applyFill="1" applyBorder="1" applyAlignment="1">
      <alignment horizontal="left" vertical="center" wrapText="1"/>
    </xf>
    <xf numFmtId="3" fontId="1" fillId="11" borderId="1" xfId="0" quotePrefix="1" applyNumberFormat="1" applyFont="1" applyFill="1" applyBorder="1" applyAlignment="1">
      <alignment horizontal="center" vertical="center" wrapText="1"/>
    </xf>
    <xf numFmtId="10" fontId="1" fillId="11" borderId="1" xfId="0" quotePrefix="1" applyNumberFormat="1" applyFont="1" applyFill="1" applyBorder="1" applyAlignment="1">
      <alignment horizontal="center" vertical="center" wrapText="1"/>
    </xf>
    <xf numFmtId="3" fontId="50" fillId="11" borderId="1" xfId="0" quotePrefix="1" applyNumberFormat="1" applyFont="1" applyFill="1" applyBorder="1" applyAlignment="1">
      <alignment horizontal="center" vertical="center" wrapText="1"/>
    </xf>
    <xf numFmtId="10" fontId="50" fillId="11" borderId="1" xfId="0" quotePrefix="1" applyNumberFormat="1" applyFont="1" applyFill="1" applyBorder="1" applyAlignment="1">
      <alignment horizontal="center" vertical="center" wrapText="1"/>
    </xf>
    <xf numFmtId="3" fontId="50" fillId="11" borderId="16" xfId="0" quotePrefix="1" applyNumberFormat="1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vertical="center"/>
    </xf>
    <xf numFmtId="10" fontId="24" fillId="11" borderId="50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0" fontId="9" fillId="11" borderId="1" xfId="0" quotePrefix="1" applyFont="1" applyFill="1" applyBorder="1" applyAlignment="1">
      <alignment wrapText="1"/>
    </xf>
    <xf numFmtId="10" fontId="9" fillId="11" borderId="1" xfId="0" quotePrefix="1" applyNumberFormat="1" applyFont="1" applyFill="1" applyBorder="1" applyAlignment="1">
      <alignment wrapText="1"/>
    </xf>
    <xf numFmtId="3" fontId="9" fillId="11" borderId="1" xfId="0" quotePrefix="1" applyNumberFormat="1" applyFont="1" applyFill="1" applyBorder="1" applyAlignment="1">
      <alignment wrapText="1"/>
    </xf>
    <xf numFmtId="3" fontId="18" fillId="11" borderId="1" xfId="0" quotePrefix="1" applyNumberFormat="1" applyFont="1" applyFill="1" applyBorder="1" applyAlignment="1"/>
    <xf numFmtId="0" fontId="7" fillId="11" borderId="1" xfId="0" applyFont="1" applyFill="1" applyBorder="1" applyAlignment="1">
      <alignment horizontal="center" vertical="top" wrapText="1"/>
    </xf>
    <xf numFmtId="49" fontId="7" fillId="11" borderId="1" xfId="19" applyNumberFormat="1" applyFont="1" applyFill="1" applyBorder="1" applyAlignment="1">
      <alignment horizontal="center" vertical="center" wrapText="1"/>
    </xf>
    <xf numFmtId="49" fontId="7" fillId="11" borderId="1" xfId="19" applyNumberFormat="1" applyFont="1" applyFill="1" applyBorder="1" applyAlignment="1">
      <alignment horizontal="left" vertical="center" wrapText="1"/>
    </xf>
    <xf numFmtId="3" fontId="9" fillId="11" borderId="1" xfId="0" quotePrefix="1" applyNumberFormat="1" applyFont="1" applyFill="1" applyBorder="1" applyAlignment="1"/>
    <xf numFmtId="10" fontId="18" fillId="11" borderId="1" xfId="0" quotePrefix="1" applyNumberFormat="1" applyFont="1" applyFill="1" applyBorder="1" applyAlignment="1"/>
    <xf numFmtId="3" fontId="18" fillId="11" borderId="1" xfId="0" applyNumberFormat="1" applyFont="1" applyFill="1" applyBorder="1" applyAlignment="1"/>
    <xf numFmtId="0" fontId="9" fillId="11" borderId="1" xfId="0" quotePrefix="1" applyFont="1" applyFill="1" applyBorder="1" applyAlignment="1">
      <alignment horizontal="left" vertical="center" wrapText="1"/>
    </xf>
    <xf numFmtId="3" fontId="18" fillId="11" borderId="1" xfId="0" quotePrefix="1" applyNumberFormat="1" applyFont="1" applyFill="1" applyBorder="1" applyAlignment="1">
      <alignment wrapText="1"/>
    </xf>
    <xf numFmtId="10" fontId="18" fillId="11" borderId="1" xfId="0" quotePrefix="1" applyNumberFormat="1" applyFont="1" applyFill="1" applyBorder="1" applyAlignment="1">
      <alignment wrapText="1"/>
    </xf>
    <xf numFmtId="3" fontId="81" fillId="11" borderId="1" xfId="0" quotePrefix="1" applyNumberFormat="1" applyFont="1" applyFill="1" applyBorder="1" applyAlignment="1">
      <alignment wrapText="1"/>
    </xf>
    <xf numFmtId="0" fontId="72" fillId="11" borderId="1" xfId="0" applyFont="1" applyFill="1" applyBorder="1"/>
    <xf numFmtId="0" fontId="86" fillId="11" borderId="1" xfId="0" quotePrefix="1" applyFont="1" applyFill="1" applyBorder="1" applyAlignment="1">
      <alignment horizontal="center" vertical="center" wrapText="1"/>
    </xf>
    <xf numFmtId="0" fontId="7" fillId="11" borderId="1" xfId="19" applyFont="1" applyFill="1" applyBorder="1" applyAlignment="1">
      <alignment horizontal="left" vertical="top" wrapText="1"/>
    </xf>
    <xf numFmtId="3" fontId="18" fillId="11" borderId="1" xfId="0" quotePrefix="1" applyNumberFormat="1" applyFont="1" applyFill="1" applyBorder="1" applyAlignment="1">
      <alignment horizontal="center"/>
    </xf>
    <xf numFmtId="10" fontId="18" fillId="11" borderId="1" xfId="0" quotePrefix="1" applyNumberFormat="1" applyFont="1" applyFill="1" applyBorder="1" applyAlignment="1">
      <alignment horizontal="center"/>
    </xf>
    <xf numFmtId="3" fontId="9" fillId="11" borderId="16" xfId="0" quotePrefix="1" applyNumberFormat="1" applyFont="1" applyFill="1" applyBorder="1" applyAlignment="1">
      <alignment horizontal="center" wrapText="1"/>
    </xf>
    <xf numFmtId="3" fontId="72" fillId="11" borderId="1" xfId="0" applyNumberFormat="1" applyFont="1" applyFill="1" applyBorder="1"/>
    <xf numFmtId="10" fontId="72" fillId="11" borderId="1" xfId="0" applyNumberFormat="1" applyFont="1" applyFill="1" applyBorder="1"/>
    <xf numFmtId="0" fontId="7" fillId="11" borderId="1" xfId="0" applyFont="1" applyFill="1" applyBorder="1" applyAlignment="1">
      <alignment horizontal="left" wrapText="1"/>
    </xf>
    <xf numFmtId="3" fontId="81" fillId="11" borderId="1" xfId="0" quotePrefix="1" applyNumberFormat="1" applyFont="1" applyFill="1" applyBorder="1" applyAlignment="1">
      <alignment horizontal="center" wrapText="1"/>
    </xf>
    <xf numFmtId="3" fontId="81" fillId="11" borderId="16" xfId="0" quotePrefix="1" applyNumberFormat="1" applyFont="1" applyFill="1" applyBorder="1" applyAlignment="1">
      <alignment horizontal="center" wrapText="1"/>
    </xf>
    <xf numFmtId="0" fontId="86" fillId="11" borderId="1" xfId="0" quotePrefix="1" applyFont="1" applyFill="1" applyBorder="1" applyAlignment="1">
      <alignment vertical="center" wrapText="1"/>
    </xf>
    <xf numFmtId="0" fontId="9" fillId="11" borderId="16" xfId="0" quotePrefix="1" applyFont="1" applyFill="1" applyBorder="1" applyAlignment="1">
      <alignment horizontal="center" wrapText="1"/>
    </xf>
    <xf numFmtId="0" fontId="9" fillId="11" borderId="22" xfId="0" quotePrefix="1" applyFont="1" applyFill="1" applyBorder="1" applyAlignment="1">
      <alignment horizontal="center" wrapText="1"/>
    </xf>
    <xf numFmtId="10" fontId="9" fillId="11" borderId="22" xfId="0" quotePrefix="1" applyNumberFormat="1" applyFont="1" applyFill="1" applyBorder="1" applyAlignment="1">
      <alignment horizontal="center" wrapText="1"/>
    </xf>
    <xf numFmtId="49" fontId="49" fillId="11" borderId="1" xfId="0" applyNumberFormat="1" applyFont="1" applyFill="1" applyBorder="1" applyAlignment="1">
      <alignment horizontal="center"/>
    </xf>
    <xf numFmtId="0" fontId="49" fillId="11" borderId="1" xfId="0" applyFont="1" applyFill="1" applyBorder="1" applyAlignment="1">
      <alignment horizontal="left" vertical="center" wrapText="1"/>
    </xf>
    <xf numFmtId="0" fontId="9" fillId="11" borderId="1" xfId="0" quotePrefix="1" applyFont="1" applyFill="1" applyBorder="1" applyAlignment="1">
      <alignment horizontal="center" wrapText="1"/>
    </xf>
    <xf numFmtId="10" fontId="9" fillId="11" borderId="1" xfId="0" quotePrefix="1" applyNumberFormat="1" applyFont="1" applyFill="1" applyBorder="1" applyAlignment="1">
      <alignment horizontal="center" wrapText="1"/>
    </xf>
    <xf numFmtId="2" fontId="7" fillId="11" borderId="1" xfId="0" applyNumberFormat="1" applyFont="1" applyFill="1" applyBorder="1" applyAlignment="1">
      <alignment horizontal="center" vertical="center"/>
    </xf>
    <xf numFmtId="49" fontId="7" fillId="11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horizontal="center"/>
    </xf>
    <xf numFmtId="3" fontId="9" fillId="11" borderId="16" xfId="0" quotePrefix="1" applyNumberFormat="1" applyFont="1" applyFill="1" applyBorder="1" applyAlignment="1">
      <alignment horizontal="center"/>
    </xf>
    <xf numFmtId="3" fontId="18" fillId="11" borderId="16" xfId="0" quotePrefix="1" applyNumberFormat="1" applyFont="1" applyFill="1" applyBorder="1" applyAlignment="1">
      <alignment horizontal="center"/>
    </xf>
    <xf numFmtId="0" fontId="86" fillId="11" borderId="1" xfId="0" applyFont="1" applyFill="1" applyBorder="1" applyAlignment="1">
      <alignment horizontal="center" vertical="center" wrapText="1"/>
    </xf>
    <xf numFmtId="0" fontId="13" fillId="11" borderId="1" xfId="19" applyFont="1" applyFill="1" applyBorder="1" applyAlignment="1">
      <alignment horizontal="left" vertical="center" wrapText="1"/>
    </xf>
    <xf numFmtId="3" fontId="18" fillId="11" borderId="1" xfId="0" quotePrefix="1" applyNumberFormat="1" applyFont="1" applyFill="1" applyBorder="1" applyAlignment="1">
      <alignment horizontal="center" wrapText="1"/>
    </xf>
    <xf numFmtId="10" fontId="18" fillId="11" borderId="1" xfId="0" quotePrefix="1" applyNumberFormat="1" applyFont="1" applyFill="1" applyBorder="1" applyAlignment="1">
      <alignment horizontal="center" wrapText="1"/>
    </xf>
    <xf numFmtId="3" fontId="18" fillId="11" borderId="16" xfId="0" quotePrefix="1" applyNumberFormat="1" applyFont="1" applyFill="1" applyBorder="1" applyAlignment="1">
      <alignment horizontal="center" wrapText="1"/>
    </xf>
    <xf numFmtId="0" fontId="21" fillId="11" borderId="1" xfId="0" quotePrefix="1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10" fontId="81" fillId="11" borderId="1" xfId="0" quotePrefix="1" applyNumberFormat="1" applyFont="1" applyFill="1" applyBorder="1" applyAlignment="1">
      <alignment horizontal="center" wrapText="1"/>
    </xf>
    <xf numFmtId="0" fontId="9" fillId="11" borderId="16" xfId="0" quotePrefix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2" fillId="11" borderId="16" xfId="0" applyNumberFormat="1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left" vertical="center" wrapText="1"/>
    </xf>
    <xf numFmtId="49" fontId="7" fillId="11" borderId="16" xfId="0" applyNumberFormat="1" applyFont="1" applyFill="1" applyBorder="1" applyAlignment="1">
      <alignment wrapText="1"/>
    </xf>
    <xf numFmtId="3" fontId="18" fillId="11" borderId="1" xfId="0" quotePrefix="1" applyNumberFormat="1" applyFont="1" applyFill="1" applyBorder="1" applyAlignment="1">
      <alignment horizontal="center" vertical="center"/>
    </xf>
    <xf numFmtId="3" fontId="9" fillId="11" borderId="16" xfId="0" quotePrefix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right" vertical="center"/>
    </xf>
    <xf numFmtId="0" fontId="7" fillId="11" borderId="16" xfId="0" applyFont="1" applyFill="1" applyBorder="1" applyAlignment="1">
      <alignment horizontal="left" vertical="top" wrapText="1"/>
    </xf>
    <xf numFmtId="0" fontId="7" fillId="11" borderId="16" xfId="0" applyFont="1" applyFill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right" vertical="center"/>
    </xf>
    <xf numFmtId="49" fontId="0" fillId="11" borderId="17" xfId="0" applyNumberFormat="1" applyFont="1" applyFill="1" applyBorder="1"/>
    <xf numFmtId="0" fontId="0" fillId="11" borderId="17" xfId="0" applyFont="1" applyFill="1" applyBorder="1" applyAlignment="1">
      <alignment wrapText="1"/>
    </xf>
    <xf numFmtId="0" fontId="85" fillId="11" borderId="1" xfId="0" applyFont="1" applyFill="1" applyBorder="1" applyAlignment="1">
      <alignment horizontal="right"/>
    </xf>
    <xf numFmtId="3" fontId="9" fillId="11" borderId="16" xfId="19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left" wrapText="1"/>
    </xf>
    <xf numFmtId="0" fontId="2" fillId="11" borderId="16" xfId="0" applyFont="1" applyFill="1" applyBorder="1" applyAlignment="1">
      <alignment horizontal="left" vertical="top" wrapText="1"/>
    </xf>
    <xf numFmtId="0" fontId="7" fillId="11" borderId="16" xfId="19" applyFont="1" applyFill="1" applyBorder="1" applyAlignment="1">
      <alignment horizontal="left" vertical="top" wrapText="1"/>
    </xf>
    <xf numFmtId="0" fontId="69" fillId="11" borderId="16" xfId="19" applyFont="1" applyFill="1" applyBorder="1" applyAlignment="1">
      <alignment horizontal="left" vertical="top" wrapText="1"/>
    </xf>
    <xf numFmtId="3" fontId="1" fillId="11" borderId="1" xfId="0" applyNumberFormat="1" applyFont="1" applyFill="1" applyBorder="1" applyAlignment="1">
      <alignment vertical="center"/>
    </xf>
    <xf numFmtId="3" fontId="7" fillId="11" borderId="1" xfId="0" applyNumberFormat="1" applyFont="1" applyFill="1" applyBorder="1" applyAlignment="1">
      <alignment vertical="center"/>
    </xf>
    <xf numFmtId="49" fontId="0" fillId="11" borderId="17" xfId="0" applyNumberFormat="1" applyFont="1" applyFill="1" applyBorder="1" applyAlignment="1">
      <alignment wrapText="1"/>
    </xf>
    <xf numFmtId="0" fontId="0" fillId="11" borderId="1" xfId="0" applyFont="1" applyFill="1" applyBorder="1"/>
    <xf numFmtId="0" fontId="113" fillId="11" borderId="1" xfId="0" applyFont="1" applyFill="1" applyBorder="1" applyAlignment="1">
      <alignment horizontal="center"/>
    </xf>
    <xf numFmtId="3" fontId="49" fillId="11" borderId="16" xfId="19" applyNumberFormat="1" applyFont="1" applyFill="1" applyBorder="1" applyAlignment="1">
      <alignment horizontal="center" vertical="center"/>
    </xf>
    <xf numFmtId="0" fontId="116" fillId="11" borderId="57" xfId="0" applyFont="1" applyFill="1" applyBorder="1" applyAlignment="1">
      <alignment wrapText="1"/>
    </xf>
    <xf numFmtId="0" fontId="116" fillId="11" borderId="58" xfId="0" applyFont="1" applyFill="1" applyBorder="1" applyAlignment="1">
      <alignment wrapText="1"/>
    </xf>
    <xf numFmtId="0" fontId="0" fillId="11" borderId="12" xfId="0" applyFont="1" applyFill="1" applyBorder="1"/>
    <xf numFmtId="0" fontId="113" fillId="11" borderId="12" xfId="0" applyFont="1" applyFill="1" applyBorder="1" applyAlignment="1">
      <alignment horizontal="center"/>
    </xf>
    <xf numFmtId="3" fontId="49" fillId="11" borderId="1" xfId="19" quotePrefix="1" applyNumberFormat="1" applyFont="1" applyFill="1" applyBorder="1" applyAlignment="1">
      <alignment horizontal="center" vertical="center"/>
    </xf>
    <xf numFmtId="3" fontId="49" fillId="11" borderId="12" xfId="19" quotePrefix="1" applyNumberFormat="1" applyFont="1" applyFill="1" applyBorder="1" applyAlignment="1">
      <alignment horizontal="center" vertical="center"/>
    </xf>
    <xf numFmtId="49" fontId="0" fillId="11" borderId="17" xfId="0" applyNumberFormat="1" applyFont="1" applyFill="1" applyBorder="1" applyAlignment="1">
      <alignment horizontal="center" wrapText="1"/>
    </xf>
    <xf numFmtId="3" fontId="49" fillId="11" borderId="1" xfId="19" applyNumberFormat="1" applyFont="1" applyFill="1" applyBorder="1" applyAlignment="1">
      <alignment horizontal="center" vertical="center"/>
    </xf>
    <xf numFmtId="49" fontId="0" fillId="11" borderId="1" xfId="0" applyNumberFormat="1" applyFont="1" applyFill="1" applyBorder="1" applyAlignment="1">
      <alignment wrapText="1"/>
    </xf>
    <xf numFmtId="0" fontId="0" fillId="11" borderId="1" xfId="0" applyFont="1" applyFill="1" applyBorder="1" applyAlignment="1">
      <alignment wrapText="1"/>
    </xf>
    <xf numFmtId="0" fontId="13" fillId="11" borderId="1" xfId="0" applyFont="1" applyFill="1" applyBorder="1" applyAlignment="1">
      <alignment horizontal="left" vertical="center" wrapText="1"/>
    </xf>
    <xf numFmtId="10" fontId="18" fillId="11" borderId="1" xfId="0" quotePrefix="1" applyNumberFormat="1" applyFont="1" applyFill="1" applyBorder="1" applyAlignment="1">
      <alignment horizontal="center" vertical="center"/>
    </xf>
    <xf numFmtId="3" fontId="18" fillId="11" borderId="16" xfId="0" quotePrefix="1" applyNumberFormat="1" applyFont="1" applyFill="1" applyBorder="1" applyAlignment="1">
      <alignment horizontal="center" vertical="center"/>
    </xf>
    <xf numFmtId="0" fontId="1" fillId="11" borderId="16" xfId="19" applyFont="1" applyFill="1" applyBorder="1" applyAlignment="1">
      <alignment horizontal="left" vertical="center" wrapText="1"/>
    </xf>
    <xf numFmtId="3" fontId="1" fillId="11" borderId="16" xfId="0" quotePrefix="1" applyNumberFormat="1" applyFont="1" applyFill="1" applyBorder="1" applyAlignment="1">
      <alignment horizontal="center" vertical="center" wrapText="1"/>
    </xf>
    <xf numFmtId="0" fontId="24" fillId="11" borderId="16" xfId="0" quotePrefix="1" applyFont="1" applyFill="1" applyBorder="1" applyAlignment="1">
      <alignment horizontal="left" vertical="center" wrapText="1"/>
    </xf>
    <xf numFmtId="3" fontId="9" fillId="11" borderId="1" xfId="0" quotePrefix="1" applyNumberFormat="1" applyFont="1" applyFill="1" applyBorder="1" applyAlignment="1">
      <alignment horizontal="left" vertical="center" wrapText="1"/>
    </xf>
    <xf numFmtId="10" fontId="9" fillId="11" borderId="1" xfId="0" quotePrefix="1" applyNumberFormat="1" applyFont="1" applyFill="1" applyBorder="1" applyAlignment="1">
      <alignment horizontal="left" vertical="center" wrapText="1"/>
    </xf>
    <xf numFmtId="3" fontId="9" fillId="11" borderId="1" xfId="0" quotePrefix="1" applyNumberFormat="1" applyFont="1" applyFill="1" applyBorder="1" applyAlignment="1">
      <alignment horizontal="center" vertical="center"/>
    </xf>
    <xf numFmtId="10" fontId="9" fillId="11" borderId="1" xfId="0" quotePrefix="1" applyNumberFormat="1" applyFont="1" applyFill="1" applyBorder="1" applyAlignment="1">
      <alignment horizontal="center" vertical="center"/>
    </xf>
    <xf numFmtId="49" fontId="7" fillId="11" borderId="1" xfId="0" applyNumberFormat="1" applyFont="1" applyFill="1" applyBorder="1" applyAlignment="1">
      <alignment horizontal="center" vertical="center" wrapText="1"/>
    </xf>
    <xf numFmtId="49" fontId="7" fillId="11" borderId="16" xfId="19" applyNumberFormat="1" applyFont="1" applyFill="1" applyBorder="1" applyAlignment="1">
      <alignment wrapText="1"/>
    </xf>
    <xf numFmtId="3" fontId="2" fillId="11" borderId="16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3" fontId="2" fillId="11" borderId="11" xfId="0" applyNumberFormat="1" applyFont="1" applyFill="1" applyBorder="1" applyAlignment="1">
      <alignment horizontal="center" vertical="center"/>
    </xf>
    <xf numFmtId="10" fontId="2" fillId="11" borderId="11" xfId="0" applyNumberFormat="1" applyFont="1" applyFill="1" applyBorder="1" applyAlignment="1">
      <alignment horizontal="center" vertical="center"/>
    </xf>
    <xf numFmtId="3" fontId="9" fillId="11" borderId="35" xfId="0" quotePrefix="1" applyNumberFormat="1" applyFont="1" applyFill="1" applyBorder="1" applyAlignment="1">
      <alignment horizontal="center" vertical="center"/>
    </xf>
    <xf numFmtId="3" fontId="81" fillId="11" borderId="1" xfId="0" quotePrefix="1" applyNumberFormat="1" applyFont="1" applyFill="1" applyBorder="1" applyAlignment="1">
      <alignment horizontal="center" vertical="center" wrapText="1"/>
    </xf>
    <xf numFmtId="10" fontId="81" fillId="11" borderId="1" xfId="0" quotePrefix="1" applyNumberFormat="1" applyFont="1" applyFill="1" applyBorder="1" applyAlignment="1">
      <alignment horizontal="center" vertical="center" wrapText="1"/>
    </xf>
    <xf numFmtId="3" fontId="81" fillId="11" borderId="16" xfId="0" quotePrefix="1" applyNumberFormat="1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/>
    </xf>
    <xf numFmtId="165" fontId="107" fillId="15" borderId="44" xfId="10" applyNumberFormat="1" applyFont="1" applyFill="1" applyBorder="1" applyProtection="1">
      <alignment vertical="center"/>
    </xf>
    <xf numFmtId="165" fontId="107" fillId="15" borderId="47" xfId="10" applyNumberFormat="1" applyFont="1" applyFill="1" applyBorder="1" applyAlignment="1" applyProtection="1">
      <alignment horizontal="right" vertical="center" wrapText="1"/>
    </xf>
    <xf numFmtId="165" fontId="107" fillId="15" borderId="1" xfId="10" applyNumberFormat="1" applyFont="1" applyFill="1" applyBorder="1" applyProtection="1">
      <alignment vertical="center"/>
    </xf>
    <xf numFmtId="165" fontId="107" fillId="15" borderId="1" xfId="10" applyNumberFormat="1" applyFont="1" applyFill="1" applyBorder="1" applyAlignment="1" applyProtection="1">
      <alignment horizontal="right" vertical="center" wrapText="1"/>
    </xf>
    <xf numFmtId="0" fontId="9" fillId="11" borderId="1" xfId="0" quotePrefix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vertical="center" wrapText="1"/>
    </xf>
    <xf numFmtId="49" fontId="18" fillId="11" borderId="1" xfId="19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94" fillId="11" borderId="1" xfId="0" applyFont="1" applyFill="1" applyBorder="1" applyAlignment="1">
      <alignment horizontal="left" vertical="center"/>
    </xf>
    <xf numFmtId="0" fontId="81" fillId="11" borderId="1" xfId="0" applyFont="1" applyFill="1" applyBorder="1" applyAlignment="1">
      <alignment horizontal="left" vertical="center" wrapText="1"/>
    </xf>
    <xf numFmtId="3" fontId="37" fillId="11" borderId="1" xfId="0" quotePrefix="1" applyNumberFormat="1" applyFont="1" applyFill="1" applyBorder="1" applyAlignment="1">
      <alignment horizontal="center" vertical="center" wrapText="1"/>
    </xf>
    <xf numFmtId="10" fontId="37" fillId="11" borderId="1" xfId="0" quotePrefix="1" applyNumberFormat="1" applyFont="1" applyFill="1" applyBorder="1" applyAlignment="1">
      <alignment horizontal="center" vertical="center" wrapText="1"/>
    </xf>
    <xf numFmtId="3" fontId="107" fillId="11" borderId="1" xfId="0" quotePrefix="1" applyNumberFormat="1" applyFont="1" applyFill="1" applyBorder="1" applyAlignment="1">
      <alignment horizontal="center" vertical="center" wrapText="1"/>
    </xf>
    <xf numFmtId="49" fontId="93" fillId="0" borderId="1" xfId="0" applyNumberFormat="1" applyFont="1" applyFill="1" applyBorder="1" applyAlignment="1">
      <alignment horizontal="center"/>
    </xf>
    <xf numFmtId="49" fontId="93" fillId="0" borderId="1" xfId="0" applyNumberFormat="1" applyFont="1" applyFill="1" applyBorder="1" applyAlignment="1">
      <alignment horizontal="left" vertical="center" wrapText="1"/>
    </xf>
    <xf numFmtId="3" fontId="18" fillId="11" borderId="12" xfId="0" quotePrefix="1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93" fillId="0" borderId="1" xfId="19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93" fillId="0" borderId="1" xfId="0" applyNumberFormat="1" applyFont="1" applyBorder="1" applyAlignment="1">
      <alignment horizontal="center" vertical="center"/>
    </xf>
    <xf numFmtId="49" fontId="93" fillId="0" borderId="1" xfId="0" applyNumberFormat="1" applyFont="1" applyBorder="1" applyAlignment="1">
      <alignment vertical="center" wrapText="1"/>
    </xf>
    <xf numFmtId="49" fontId="9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3" fontId="18" fillId="11" borderId="12" xfId="0" quotePrefix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4" fontId="7" fillId="11" borderId="1" xfId="19" applyNumberFormat="1" applyFont="1" applyFill="1" applyBorder="1" applyAlignment="1">
      <alignment vertical="center" wrapText="1"/>
    </xf>
    <xf numFmtId="3" fontId="18" fillId="11" borderId="1" xfId="0" quotePrefix="1" applyNumberFormat="1" applyFont="1" applyFill="1" applyBorder="1" applyAlignment="1">
      <alignment horizontal="center" vertical="center" wrapText="1"/>
    </xf>
    <xf numFmtId="10" fontId="18" fillId="11" borderId="1" xfId="0" quotePrefix="1" applyNumberFormat="1" applyFont="1" applyFill="1" applyBorder="1" applyAlignment="1">
      <alignment horizontal="center" vertical="center" wrapText="1"/>
    </xf>
    <xf numFmtId="4" fontId="93" fillId="11" borderId="1" xfId="0" applyNumberFormat="1" applyFont="1" applyFill="1" applyBorder="1" applyAlignment="1">
      <alignment wrapText="1"/>
    </xf>
    <xf numFmtId="4" fontId="7" fillId="11" borderId="1" xfId="19" applyNumberFormat="1" applyFont="1" applyFill="1" applyBorder="1" applyAlignment="1">
      <alignment horizontal="left" vertical="center" wrapText="1"/>
    </xf>
    <xf numFmtId="4" fontId="93" fillId="11" borderId="1" xfId="19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top" wrapText="1"/>
    </xf>
    <xf numFmtId="4" fontId="7" fillId="11" borderId="1" xfId="19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9" fillId="11" borderId="1" xfId="0" quotePrefix="1" applyNumberFormat="1" applyFont="1" applyFill="1" applyBorder="1" applyAlignment="1">
      <alignment horizontal="left" vertical="center" wrapText="1"/>
    </xf>
    <xf numFmtId="0" fontId="7" fillId="11" borderId="1" xfId="36" applyFont="1" applyFill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/>
    </xf>
    <xf numFmtId="3" fontId="58" fillId="11" borderId="1" xfId="0" quotePrefix="1" applyNumberFormat="1" applyFont="1" applyFill="1" applyBorder="1" applyAlignment="1">
      <alignment horizontal="center" vertical="center" wrapText="1"/>
    </xf>
    <xf numFmtId="3" fontId="7" fillId="11" borderId="1" xfId="0" quotePrefix="1" applyNumberFormat="1" applyFont="1" applyFill="1" applyBorder="1" applyAlignment="1">
      <alignment horizontal="center" vertical="center"/>
    </xf>
    <xf numFmtId="10" fontId="7" fillId="11" borderId="1" xfId="0" quotePrefix="1" applyNumberFormat="1" applyFont="1" applyFill="1" applyBorder="1" applyAlignment="1">
      <alignment horizontal="center" vertical="center"/>
    </xf>
    <xf numFmtId="0" fontId="18" fillId="11" borderId="16" xfId="19" applyFont="1" applyFill="1" applyBorder="1" applyAlignment="1">
      <alignment vertical="center" wrapText="1"/>
    </xf>
    <xf numFmtId="0" fontId="106" fillId="11" borderId="16" xfId="0" applyFont="1" applyFill="1" applyBorder="1" applyAlignment="1">
      <alignment horizontal="left" vertical="center" wrapText="1"/>
    </xf>
    <xf numFmtId="3" fontId="1" fillId="11" borderId="1" xfId="19" applyNumberFormat="1" applyFont="1" applyFill="1" applyBorder="1" applyAlignment="1">
      <alignment horizontal="center" vertical="center" wrapText="1"/>
    </xf>
    <xf numFmtId="10" fontId="1" fillId="11" borderId="1" xfId="19" applyNumberFormat="1" applyFont="1" applyFill="1" applyBorder="1" applyAlignment="1">
      <alignment horizontal="center" vertical="center" wrapText="1"/>
    </xf>
    <xf numFmtId="0" fontId="115" fillId="11" borderId="16" xfId="0" applyFont="1" applyFill="1" applyBorder="1" applyAlignment="1">
      <alignment vertical="center" wrapText="1"/>
    </xf>
    <xf numFmtId="0" fontId="115" fillId="11" borderId="22" xfId="0" applyFont="1" applyFill="1" applyBorder="1" applyAlignment="1">
      <alignment vertical="center" wrapText="1"/>
    </xf>
    <xf numFmtId="0" fontId="23" fillId="11" borderId="17" xfId="0" applyFont="1" applyFill="1" applyBorder="1" applyAlignment="1">
      <alignment horizontal="left" vertical="center"/>
    </xf>
    <xf numFmtId="0" fontId="9" fillId="11" borderId="15" xfId="0" quotePrefix="1" applyFont="1" applyFill="1" applyBorder="1" applyAlignment="1">
      <alignment horizontal="left" vertical="center" wrapText="1"/>
    </xf>
    <xf numFmtId="3" fontId="21" fillId="11" borderId="1" xfId="0" quotePrefix="1" applyNumberFormat="1" applyFont="1" applyFill="1" applyBorder="1" applyAlignment="1">
      <alignment horizontal="center" vertical="center" wrapText="1"/>
    </xf>
    <xf numFmtId="10" fontId="21" fillId="11" borderId="1" xfId="0" quotePrefix="1" applyNumberFormat="1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left" vertical="center" wrapText="1"/>
    </xf>
    <xf numFmtId="3" fontId="21" fillId="11" borderId="1" xfId="0" applyNumberFormat="1" applyFont="1" applyFill="1" applyBorder="1" applyAlignment="1">
      <alignment horizontal="center" vertical="center" wrapText="1"/>
    </xf>
    <xf numFmtId="0" fontId="9" fillId="11" borderId="16" xfId="0" quotePrefix="1" applyFont="1" applyFill="1" applyBorder="1" applyAlignment="1">
      <alignment horizontal="left" vertical="center" wrapText="1"/>
    </xf>
    <xf numFmtId="0" fontId="9" fillId="11" borderId="1" xfId="21" applyFont="1" applyFill="1" applyBorder="1" applyAlignment="1">
      <alignment vertical="center"/>
    </xf>
    <xf numFmtId="0" fontId="9" fillId="11" borderId="1" xfId="21" applyFont="1" applyFill="1" applyBorder="1" applyAlignment="1">
      <alignment vertical="center" wrapText="1"/>
    </xf>
    <xf numFmtId="3" fontId="71" fillId="11" borderId="1" xfId="19" applyNumberFormat="1" applyFont="1" applyFill="1" applyBorder="1" applyAlignment="1">
      <alignment horizontal="right" vertical="center"/>
    </xf>
    <xf numFmtId="10" fontId="71" fillId="11" borderId="1" xfId="19" applyNumberFormat="1" applyFont="1" applyFill="1" applyBorder="1" applyAlignment="1">
      <alignment horizontal="right" vertical="center"/>
    </xf>
    <xf numFmtId="3" fontId="6" fillId="11" borderId="16" xfId="21" applyNumberFormat="1" applyFont="1" applyFill="1" applyBorder="1" applyAlignment="1">
      <alignment vertical="center"/>
    </xf>
    <xf numFmtId="16" fontId="9" fillId="11" borderId="1" xfId="21" quotePrefix="1" applyNumberFormat="1" applyFont="1" applyFill="1" applyBorder="1" applyAlignment="1">
      <alignment horizontal="left" vertical="center"/>
    </xf>
    <xf numFmtId="3" fontId="71" fillId="11" borderId="16" xfId="19" applyNumberFormat="1" applyFont="1" applyFill="1" applyBorder="1" applyAlignment="1">
      <alignment horizontal="right" vertical="center"/>
    </xf>
    <xf numFmtId="3" fontId="9" fillId="11" borderId="1" xfId="21" applyNumberFormat="1" applyFont="1" applyFill="1" applyBorder="1" applyAlignment="1">
      <alignment horizontal="right" vertical="center"/>
    </xf>
    <xf numFmtId="3" fontId="9" fillId="11" borderId="16" xfId="21" applyNumberFormat="1" applyFont="1" applyFill="1" applyBorder="1" applyAlignment="1">
      <alignment horizontal="right" vertical="center"/>
    </xf>
    <xf numFmtId="0" fontId="2" fillId="11" borderId="1" xfId="4" applyFont="1" applyFill="1" applyBorder="1" applyAlignment="1">
      <alignment vertical="center" wrapText="1"/>
    </xf>
    <xf numFmtId="3" fontId="4" fillId="11" borderId="1" xfId="19" applyNumberFormat="1" applyFont="1" applyFill="1" applyBorder="1" applyAlignment="1">
      <alignment horizontal="right" vertical="center"/>
    </xf>
    <xf numFmtId="0" fontId="2" fillId="11" borderId="1" xfId="4" applyFont="1" applyFill="1" applyBorder="1" applyAlignment="1">
      <alignment horizontal="center" vertical="top" wrapText="1"/>
    </xf>
    <xf numFmtId="0" fontId="109" fillId="11" borderId="1" xfId="4" applyFont="1" applyFill="1" applyBorder="1" applyAlignment="1">
      <alignment vertical="top" wrapText="1"/>
    </xf>
    <xf numFmtId="0" fontId="2" fillId="11" borderId="1" xfId="4" applyFont="1" applyFill="1" applyBorder="1" applyAlignment="1">
      <alignment vertical="top" wrapText="1"/>
    </xf>
    <xf numFmtId="3" fontId="9" fillId="11" borderId="1" xfId="21" applyNumberFormat="1" applyFont="1" applyFill="1" applyBorder="1" applyAlignment="1">
      <alignment horizontal="center" vertical="center"/>
    </xf>
    <xf numFmtId="10" fontId="9" fillId="11" borderId="1" xfId="21" applyNumberFormat="1" applyFont="1" applyFill="1" applyBorder="1" applyAlignment="1">
      <alignment horizontal="center" vertical="center"/>
    </xf>
    <xf numFmtId="3" fontId="9" fillId="11" borderId="1" xfId="21" applyNumberFormat="1" applyFont="1" applyFill="1" applyBorder="1" applyAlignment="1">
      <alignment horizontal="left" vertical="center"/>
    </xf>
    <xf numFmtId="10" fontId="9" fillId="11" borderId="1" xfId="21" applyNumberFormat="1" applyFont="1" applyFill="1" applyBorder="1" applyAlignment="1">
      <alignment horizontal="left" vertical="center"/>
    </xf>
    <xf numFmtId="3" fontId="9" fillId="11" borderId="1" xfId="21" applyNumberFormat="1" applyFont="1" applyFill="1" applyBorder="1" applyAlignment="1">
      <alignment vertical="center"/>
    </xf>
    <xf numFmtId="0" fontId="9" fillId="11" borderId="1" xfId="21" applyFont="1" applyFill="1" applyBorder="1" applyAlignment="1">
      <alignment horizontal="center" vertical="center"/>
    </xf>
    <xf numFmtId="10" fontId="9" fillId="11" borderId="1" xfId="21" applyNumberFormat="1" applyFont="1" applyFill="1" applyBorder="1" applyAlignment="1">
      <alignment horizontal="right" vertical="center"/>
    </xf>
    <xf numFmtId="0" fontId="64" fillId="11" borderId="1" xfId="21" applyFont="1" applyFill="1" applyBorder="1" applyAlignment="1">
      <alignment vertical="center"/>
    </xf>
    <xf numFmtId="0" fontId="64" fillId="11" borderId="1" xfId="21" applyFont="1" applyFill="1" applyBorder="1" applyAlignment="1">
      <alignment vertical="center" wrapText="1"/>
    </xf>
    <xf numFmtId="3" fontId="64" fillId="11" borderId="1" xfId="21" applyNumberFormat="1" applyFont="1" applyFill="1" applyBorder="1" applyAlignment="1">
      <alignment horizontal="right" vertical="center"/>
    </xf>
    <xf numFmtId="49" fontId="13" fillId="11" borderId="1" xfId="21" applyNumberFormat="1" applyFont="1" applyFill="1" applyBorder="1" applyAlignment="1">
      <alignment vertical="center" wrapText="1"/>
    </xf>
    <xf numFmtId="3" fontId="13" fillId="11" borderId="1" xfId="21" applyNumberFormat="1" applyFont="1" applyFill="1" applyBorder="1" applyAlignment="1">
      <alignment vertical="center" wrapText="1"/>
    </xf>
    <xf numFmtId="10" fontId="13" fillId="11" borderId="1" xfId="21" applyNumberFormat="1" applyFont="1" applyFill="1" applyBorder="1" applyAlignment="1">
      <alignment vertical="center" wrapText="1"/>
    </xf>
    <xf numFmtId="3" fontId="2" fillId="11" borderId="1" xfId="21" applyNumberFormat="1" applyFont="1" applyFill="1" applyBorder="1" applyAlignment="1">
      <alignment horizontal="right" vertical="center"/>
    </xf>
    <xf numFmtId="3" fontId="6" fillId="11" borderId="1" xfId="21" applyNumberFormat="1" applyFont="1" applyFill="1" applyBorder="1" applyAlignment="1">
      <alignment vertical="center"/>
    </xf>
    <xf numFmtId="0" fontId="7" fillId="11" borderId="1" xfId="21" applyFont="1" applyFill="1" applyBorder="1" applyAlignment="1">
      <alignment vertical="center" wrapText="1"/>
    </xf>
    <xf numFmtId="0" fontId="7" fillId="11" borderId="1" xfId="21" applyFont="1" applyFill="1" applyBorder="1" applyAlignment="1">
      <alignment vertical="top" wrapText="1"/>
    </xf>
    <xf numFmtId="3" fontId="13" fillId="11" borderId="1" xfId="21" applyNumberFormat="1" applyFont="1" applyFill="1" applyBorder="1" applyAlignment="1">
      <alignment horizontal="center" vertical="center" wrapText="1"/>
    </xf>
    <xf numFmtId="10" fontId="13" fillId="11" borderId="1" xfId="21" applyNumberFormat="1" applyFont="1" applyFill="1" applyBorder="1" applyAlignment="1">
      <alignment horizontal="center" vertical="center" wrapText="1"/>
    </xf>
    <xf numFmtId="3" fontId="2" fillId="11" borderId="1" xfId="21" applyNumberFormat="1" applyFont="1" applyFill="1" applyBorder="1" applyAlignment="1">
      <alignment horizontal="center" vertical="center"/>
    </xf>
    <xf numFmtId="3" fontId="6" fillId="11" borderId="1" xfId="21" applyNumberFormat="1" applyFont="1" applyFill="1" applyBorder="1" applyAlignment="1">
      <alignment horizontal="center" vertical="center"/>
    </xf>
    <xf numFmtId="3" fontId="6" fillId="11" borderId="1" xfId="21" applyNumberFormat="1" applyFont="1" applyFill="1" applyBorder="1" applyAlignment="1">
      <alignment vertical="center" wrapText="1"/>
    </xf>
    <xf numFmtId="3" fontId="29" fillId="11" borderId="1" xfId="21" applyNumberFormat="1" applyFont="1" applyFill="1" applyBorder="1" applyAlignment="1">
      <alignment horizontal="right" vertical="center"/>
    </xf>
    <xf numFmtId="3" fontId="2" fillId="11" borderId="1" xfId="21" applyNumberFormat="1" applyFont="1" applyFill="1" applyBorder="1" applyAlignment="1">
      <alignment horizontal="right" vertical="center" wrapText="1"/>
    </xf>
    <xf numFmtId="4" fontId="71" fillId="11" borderId="16" xfId="19" applyNumberFormat="1" applyFont="1" applyFill="1" applyBorder="1" applyAlignment="1">
      <alignment vertical="center"/>
    </xf>
    <xf numFmtId="0" fontId="13" fillId="11" borderId="1" xfId="21" applyFont="1" applyFill="1" applyBorder="1" applyAlignment="1">
      <alignment vertical="center" wrapText="1"/>
    </xf>
    <xf numFmtId="3" fontId="13" fillId="11" borderId="1" xfId="21" applyNumberFormat="1" applyFont="1" applyFill="1" applyBorder="1" applyAlignment="1">
      <alignment wrapText="1"/>
    </xf>
    <xf numFmtId="10" fontId="13" fillId="11" borderId="1" xfId="21" applyNumberFormat="1" applyFont="1" applyFill="1" applyBorder="1" applyAlignment="1">
      <alignment wrapText="1"/>
    </xf>
    <xf numFmtId="3" fontId="29" fillId="11" borderId="1" xfId="21" applyNumberFormat="1" applyFont="1" applyFill="1" applyBorder="1" applyAlignment="1"/>
    <xf numFmtId="3" fontId="9" fillId="11" borderId="1" xfId="21" applyNumberFormat="1" applyFont="1" applyFill="1" applyBorder="1" applyAlignment="1"/>
    <xf numFmtId="3" fontId="6" fillId="11" borderId="1" xfId="21" applyNumberFormat="1" applyFont="1" applyFill="1" applyBorder="1" applyAlignment="1"/>
    <xf numFmtId="10" fontId="9" fillId="11" borderId="1" xfId="21" applyNumberFormat="1" applyFont="1" applyFill="1" applyBorder="1" applyAlignment="1">
      <alignment vertical="center"/>
    </xf>
    <xf numFmtId="16" fontId="9" fillId="11" borderId="1" xfId="21" quotePrefix="1" applyNumberFormat="1" applyFont="1" applyFill="1" applyBorder="1" applyAlignment="1">
      <alignment vertical="center"/>
    </xf>
    <xf numFmtId="16" fontId="9" fillId="11" borderId="1" xfId="21" quotePrefix="1" applyNumberFormat="1" applyFont="1" applyFill="1" applyBorder="1" applyAlignment="1">
      <alignment vertical="center" wrapText="1"/>
    </xf>
    <xf numFmtId="49" fontId="57" fillId="11" borderId="1" xfId="21" applyNumberFormat="1" applyFill="1" applyBorder="1"/>
    <xf numFmtId="16" fontId="22" fillId="11" borderId="1" xfId="21" quotePrefix="1" applyNumberFormat="1" applyFont="1" applyFill="1" applyBorder="1" applyAlignment="1">
      <alignment vertical="center"/>
    </xf>
    <xf numFmtId="16" fontId="9" fillId="11" borderId="1" xfId="21" applyNumberFormat="1" applyFont="1" applyFill="1" applyBorder="1" applyAlignment="1">
      <alignment vertical="center" wrapText="1"/>
    </xf>
    <xf numFmtId="0" fontId="9" fillId="21" borderId="1" xfId="21" applyFont="1" applyFill="1" applyBorder="1" applyAlignment="1">
      <alignment vertical="center"/>
    </xf>
    <xf numFmtId="0" fontId="9" fillId="21" borderId="1" xfId="21" applyFont="1" applyFill="1" applyBorder="1" applyAlignment="1">
      <alignment vertical="center" wrapText="1"/>
    </xf>
    <xf numFmtId="3" fontId="9" fillId="21" borderId="1" xfId="21" applyNumberFormat="1" applyFont="1" applyFill="1" applyBorder="1" applyAlignment="1">
      <alignment horizontal="center" vertical="center"/>
    </xf>
    <xf numFmtId="10" fontId="9" fillId="21" borderId="1" xfId="21" applyNumberFormat="1" applyFont="1" applyFill="1" applyBorder="1" applyAlignment="1">
      <alignment horizontal="center" vertical="center"/>
    </xf>
    <xf numFmtId="16" fontId="9" fillId="21" borderId="1" xfId="21" applyNumberFormat="1" applyFont="1" applyFill="1" applyBorder="1" applyAlignment="1">
      <alignment vertical="center"/>
    </xf>
    <xf numFmtId="16" fontId="9" fillId="21" borderId="1" xfId="21" applyNumberFormat="1" applyFont="1" applyFill="1" applyBorder="1" applyAlignment="1">
      <alignment vertical="center" wrapText="1"/>
    </xf>
    <xf numFmtId="0" fontId="57" fillId="11" borderId="0" xfId="21" applyFill="1"/>
    <xf numFmtId="10" fontId="57" fillId="11" borderId="0" xfId="21" applyNumberFormat="1" applyFill="1"/>
    <xf numFmtId="10" fontId="6" fillId="11" borderId="1" xfId="21" applyNumberFormat="1" applyFont="1" applyFill="1" applyBorder="1" applyAlignment="1">
      <alignment vertical="center"/>
    </xf>
    <xf numFmtId="10" fontId="0" fillId="11" borderId="1" xfId="0" applyNumberFormat="1" applyFill="1" applyBorder="1" applyAlignment="1">
      <alignment horizontal="center"/>
    </xf>
    <xf numFmtId="10" fontId="0" fillId="11" borderId="1" xfId="0" applyNumberFormat="1" applyFill="1" applyBorder="1" applyAlignment="1">
      <alignment vertical="center"/>
    </xf>
    <xf numFmtId="10" fontId="0" fillId="11" borderId="1" xfId="0" applyNumberFormat="1" applyFill="1" applyBorder="1" applyAlignment="1"/>
    <xf numFmtId="3" fontId="12" fillId="0" borderId="0" xfId="2" applyNumberFormat="1" applyFont="1" applyFill="1" applyProtection="1"/>
    <xf numFmtId="3" fontId="8" fillId="0" borderId="0" xfId="2" applyNumberFormat="1" applyFont="1" applyFill="1" applyProtection="1"/>
    <xf numFmtId="0" fontId="12" fillId="0" borderId="0" xfId="2" applyFont="1" applyFill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center" wrapText="1"/>
    </xf>
    <xf numFmtId="3" fontId="12" fillId="0" borderId="0" xfId="2" applyNumberFormat="1" applyFont="1" applyFill="1" applyAlignment="1" applyProtection="1">
      <alignment horizontal="center" vertical="center" wrapText="1"/>
    </xf>
    <xf numFmtId="3" fontId="8" fillId="0" borderId="0" xfId="2" applyNumberFormat="1" applyFont="1" applyFill="1" applyAlignment="1" applyProtection="1">
      <alignment horizontal="center" vertical="center" wrapText="1"/>
    </xf>
    <xf numFmtId="3" fontId="12" fillId="0" borderId="0" xfId="2" applyNumberFormat="1" applyFont="1" applyFill="1" applyAlignment="1" applyProtection="1">
      <alignment wrapText="1"/>
    </xf>
    <xf numFmtId="3" fontId="8" fillId="0" borderId="0" xfId="2" applyNumberFormat="1" applyFont="1" applyFill="1" applyAlignment="1" applyProtection="1">
      <alignment wrapText="1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0" xfId="2" applyFont="1" applyFill="1" applyBorder="1" applyAlignment="1" applyProtection="1">
      <alignment vertical="center" wrapText="1"/>
    </xf>
    <xf numFmtId="2" fontId="4" fillId="0" borderId="0" xfId="0" applyNumberFormat="1" applyFont="1"/>
    <xf numFmtId="2" fontId="4" fillId="0" borderId="1" xfId="0" applyNumberFormat="1" applyFont="1" applyBorder="1"/>
    <xf numFmtId="0" fontId="58" fillId="0" borderId="1" xfId="0" applyFont="1" applyBorder="1"/>
    <xf numFmtId="2" fontId="71" fillId="0" borderId="1" xfId="0" applyNumberFormat="1" applyFont="1" applyBorder="1"/>
    <xf numFmtId="0" fontId="24" fillId="0" borderId="1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49" fontId="121" fillId="0" borderId="1" xfId="4" applyNumberFormat="1" applyFont="1" applyBorder="1" applyAlignment="1"/>
    <xf numFmtId="0" fontId="121" fillId="0" borderId="1" xfId="4" applyFont="1" applyBorder="1"/>
    <xf numFmtId="49" fontId="122" fillId="11" borderId="1" xfId="4" applyNumberFormat="1" applyFont="1" applyFill="1" applyBorder="1" applyAlignment="1">
      <alignment horizontal="center"/>
    </xf>
    <xf numFmtId="0" fontId="122" fillId="11" borderId="1" xfId="4" applyFont="1" applyFill="1" applyBorder="1" applyAlignment="1">
      <alignment horizontal="center" vertical="center" wrapText="1"/>
    </xf>
    <xf numFmtId="0" fontId="56" fillId="11" borderId="0" xfId="0" applyFont="1" applyFill="1" applyAlignment="1">
      <alignment horizontal="center"/>
    </xf>
    <xf numFmtId="0" fontId="56" fillId="11" borderId="61" xfId="0" applyFont="1" applyFill="1" applyBorder="1" applyAlignment="1">
      <alignment horizontal="left" vertical="center" wrapText="1"/>
    </xf>
    <xf numFmtId="0" fontId="123" fillId="11" borderId="1" xfId="0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left" vertical="center" wrapText="1"/>
    </xf>
    <xf numFmtId="0" fontId="123" fillId="11" borderId="62" xfId="0" applyFont="1" applyFill="1" applyBorder="1" applyAlignment="1">
      <alignment horizontal="center" vertical="center" wrapText="1"/>
    </xf>
    <xf numFmtId="0" fontId="56" fillId="11" borderId="62" xfId="0" applyFont="1" applyFill="1" applyBorder="1" applyAlignment="1">
      <alignment horizontal="left" vertical="center" wrapText="1"/>
    </xf>
    <xf numFmtId="0" fontId="30" fillId="0" borderId="1" xfId="4" applyFont="1" applyBorder="1"/>
    <xf numFmtId="49" fontId="30" fillId="11" borderId="1" xfId="4" applyNumberFormat="1" applyFont="1" applyFill="1" applyBorder="1" applyAlignment="1">
      <alignment horizontal="center" vertical="center"/>
    </xf>
    <xf numFmtId="0" fontId="30" fillId="11" borderId="1" xfId="4" applyFont="1" applyFill="1" applyBorder="1" applyAlignment="1">
      <alignment wrapText="1"/>
    </xf>
    <xf numFmtId="49" fontId="30" fillId="11" borderId="1" xfId="4" applyNumberFormat="1" applyFont="1" applyFill="1" applyBorder="1" applyAlignment="1"/>
    <xf numFmtId="0" fontId="30" fillId="11" borderId="1" xfId="4" applyFont="1" applyFill="1" applyBorder="1"/>
    <xf numFmtId="49" fontId="121" fillId="0" borderId="1" xfId="4" applyNumberFormat="1" applyFont="1" applyFill="1" applyBorder="1" applyAlignment="1"/>
    <xf numFmtId="0" fontId="121" fillId="0" borderId="1" xfId="4" applyFont="1" applyFill="1" applyBorder="1"/>
    <xf numFmtId="0" fontId="56" fillId="0" borderId="52" xfId="0" applyFont="1" applyBorder="1" applyAlignment="1">
      <alignment wrapText="1"/>
    </xf>
    <xf numFmtId="0" fontId="56" fillId="11" borderId="52" xfId="0" applyFont="1" applyFill="1" applyBorder="1" applyAlignment="1">
      <alignment wrapText="1"/>
    </xf>
    <xf numFmtId="0" fontId="18" fillId="11" borderId="1" xfId="3" applyFont="1" applyFill="1" applyBorder="1"/>
    <xf numFmtId="0" fontId="18" fillId="11" borderId="1" xfId="3" applyFont="1" applyFill="1" applyBorder="1" applyAlignment="1">
      <alignment vertical="center"/>
    </xf>
    <xf numFmtId="0" fontId="18" fillId="11" borderId="1" xfId="3" applyFont="1" applyFill="1" applyBorder="1" applyAlignment="1">
      <alignment wrapText="1"/>
    </xf>
    <xf numFmtId="0" fontId="56" fillId="11" borderId="1" xfId="0" applyFont="1" applyFill="1" applyBorder="1"/>
    <xf numFmtId="0" fontId="124" fillId="11" borderId="52" xfId="0" applyFont="1" applyFill="1" applyBorder="1" applyAlignment="1">
      <alignment wrapText="1"/>
    </xf>
    <xf numFmtId="0" fontId="125" fillId="11" borderId="1" xfId="0" applyFont="1" applyFill="1" applyBorder="1" applyAlignment="1">
      <alignment horizontal="center"/>
    </xf>
    <xf numFmtId="49" fontId="126" fillId="11" borderId="1" xfId="5" applyNumberFormat="1" applyFont="1" applyFill="1" applyBorder="1" applyAlignment="1">
      <alignment horizontal="center"/>
    </xf>
    <xf numFmtId="49" fontId="126" fillId="11" borderId="1" xfId="5" applyNumberFormat="1" applyFont="1" applyFill="1" applyBorder="1" applyAlignment="1">
      <alignment wrapText="1"/>
    </xf>
    <xf numFmtId="0" fontId="123" fillId="11" borderId="62" xfId="0" applyFont="1" applyFill="1" applyBorder="1" applyAlignment="1">
      <alignment horizontal="left" vertical="center" wrapText="1"/>
    </xf>
    <xf numFmtId="0" fontId="123" fillId="11" borderId="61" xfId="0" applyFont="1" applyFill="1" applyBorder="1" applyAlignment="1">
      <alignment horizontal="left" vertical="center" wrapText="1"/>
    </xf>
    <xf numFmtId="0" fontId="123" fillId="11" borderId="1" xfId="0" applyFont="1" applyFill="1" applyBorder="1" applyAlignment="1">
      <alignment horizontal="left" vertical="center" wrapText="1"/>
    </xf>
    <xf numFmtId="49" fontId="127" fillId="11" borderId="1" xfId="5" applyNumberFormat="1" applyFont="1" applyFill="1" applyBorder="1" applyAlignment="1">
      <alignment horizontal="center"/>
    </xf>
    <xf numFmtId="49" fontId="127" fillId="11" borderId="1" xfId="5" applyNumberFormat="1" applyFont="1" applyFill="1" applyBorder="1" applyAlignment="1">
      <alignment wrapText="1"/>
    </xf>
    <xf numFmtId="49" fontId="126" fillId="11" borderId="16" xfId="5" applyNumberFormat="1" applyFont="1" applyFill="1" applyBorder="1" applyAlignment="1">
      <alignment horizontal="center"/>
    </xf>
    <xf numFmtId="49" fontId="126" fillId="11" borderId="12" xfId="5" applyNumberFormat="1" applyFont="1" applyFill="1" applyBorder="1" applyAlignment="1">
      <alignment wrapText="1"/>
    </xf>
    <xf numFmtId="0" fontId="128" fillId="11" borderId="62" xfId="0" applyFont="1" applyFill="1" applyBorder="1" applyAlignment="1">
      <alignment horizontal="left" vertical="center" wrapText="1"/>
    </xf>
    <xf numFmtId="0" fontId="75" fillId="0" borderId="1" xfId="0" applyFont="1" applyBorder="1"/>
    <xf numFmtId="0" fontId="56" fillId="11" borderId="1" xfId="2" applyFont="1" applyFill="1" applyBorder="1" applyAlignment="1">
      <alignment horizontal="left" vertical="center" wrapText="1"/>
    </xf>
    <xf numFmtId="0" fontId="0" fillId="11" borderId="1" xfId="0" applyFill="1" applyBorder="1" applyAlignment="1">
      <alignment wrapText="1"/>
    </xf>
    <xf numFmtId="0" fontId="0" fillId="0" borderId="16" xfId="0" applyBorder="1"/>
    <xf numFmtId="49" fontId="30" fillId="0" borderId="12" xfId="4" applyNumberFormat="1" applyFont="1" applyBorder="1" applyAlignment="1"/>
    <xf numFmtId="0" fontId="126" fillId="11" borderId="16" xfId="5" applyFont="1" applyFill="1" applyBorder="1" applyAlignment="1">
      <alignment horizontal="center" wrapText="1"/>
    </xf>
    <xf numFmtId="0" fontId="126" fillId="11" borderId="12" xfId="5" applyFont="1" applyFill="1" applyBorder="1" applyAlignment="1">
      <alignment wrapText="1"/>
    </xf>
    <xf numFmtId="49" fontId="102" fillId="11" borderId="1" xfId="5" applyNumberFormat="1" applyFont="1" applyFill="1" applyBorder="1" applyAlignment="1"/>
    <xf numFmtId="0" fontId="18" fillId="11" borderId="16" xfId="5" applyFont="1" applyFill="1" applyBorder="1" applyAlignment="1">
      <alignment horizontal="left"/>
    </xf>
    <xf numFmtId="49" fontId="18" fillId="11" borderId="16" xfId="5" applyNumberFormat="1" applyFont="1" applyFill="1" applyBorder="1" applyAlignment="1">
      <alignment wrapText="1"/>
    </xf>
    <xf numFmtId="0" fontId="4" fillId="11" borderId="0" xfId="0" applyFont="1" applyFill="1"/>
    <xf numFmtId="166" fontId="38" fillId="11" borderId="31" xfId="11" applyNumberFormat="1" applyFont="1" applyFill="1" applyBorder="1" applyAlignment="1" applyProtection="1">
      <alignment horizontal="left" vertical="center"/>
    </xf>
    <xf numFmtId="166" fontId="38" fillId="11" borderId="33" xfId="11" applyNumberFormat="1" applyFont="1" applyFill="1" applyBorder="1" applyAlignment="1" applyProtection="1">
      <alignment horizontal="left" vertical="center"/>
    </xf>
    <xf numFmtId="0" fontId="24" fillId="11" borderId="1" xfId="0" applyFont="1" applyFill="1" applyBorder="1" applyAlignment="1">
      <alignment horizontal="center" vertical="center"/>
    </xf>
    <xf numFmtId="0" fontId="9" fillId="11" borderId="1" xfId="0" applyFont="1" applyFill="1" applyBorder="1"/>
    <xf numFmtId="3" fontId="64" fillId="11" borderId="1" xfId="0" applyNumberFormat="1" applyFont="1" applyFill="1" applyBorder="1" applyAlignment="1">
      <alignment horizontal="center" vertical="center" wrapText="1"/>
    </xf>
    <xf numFmtId="0" fontId="75" fillId="11" borderId="1" xfId="0" applyFont="1" applyFill="1" applyBorder="1"/>
    <xf numFmtId="3" fontId="75" fillId="11" borderId="1" xfId="0" applyNumberFormat="1" applyFont="1" applyFill="1" applyBorder="1"/>
    <xf numFmtId="3" fontId="4" fillId="11" borderId="0" xfId="0" applyNumberFormat="1" applyFont="1" applyFill="1"/>
    <xf numFmtId="3" fontId="9" fillId="11" borderId="1" xfId="0" applyNumberFormat="1" applyFont="1" applyFill="1" applyBorder="1"/>
    <xf numFmtId="4" fontId="9" fillId="11" borderId="1" xfId="0" applyNumberFormat="1" applyFont="1" applyFill="1" applyBorder="1"/>
    <xf numFmtId="0" fontId="1" fillId="0" borderId="0" xfId="0" applyFont="1" applyFill="1"/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" fillId="22" borderId="0" xfId="0" applyFont="1" applyFill="1"/>
    <xf numFmtId="0" fontId="35" fillId="11" borderId="1" xfId="0" applyFont="1" applyFill="1" applyBorder="1" applyAlignment="1">
      <alignment horizontal="center" vertical="center" wrapText="1"/>
    </xf>
    <xf numFmtId="3" fontId="24" fillId="11" borderId="1" xfId="0" applyNumberFormat="1" applyFont="1" applyFill="1" applyBorder="1" applyAlignment="1">
      <alignment horizontal="center" vertical="center"/>
    </xf>
    <xf numFmtId="4" fontId="35" fillId="11" borderId="1" xfId="0" applyNumberFormat="1" applyFont="1" applyFill="1" applyBorder="1" applyAlignment="1">
      <alignment horizontal="center" vertical="center" wrapText="1"/>
    </xf>
    <xf numFmtId="3" fontId="4" fillId="11" borderId="1" xfId="0" applyNumberFormat="1" applyFont="1" applyFill="1" applyBorder="1"/>
    <xf numFmtId="0" fontId="4" fillId="11" borderId="1" xfId="0" applyFont="1" applyFill="1" applyBorder="1"/>
    <xf numFmtId="3" fontId="2" fillId="11" borderId="1" xfId="0" applyNumberFormat="1" applyFont="1" applyFill="1" applyBorder="1"/>
    <xf numFmtId="0" fontId="2" fillId="11" borderId="1" xfId="0" applyFont="1" applyFill="1" applyBorder="1"/>
    <xf numFmtId="0" fontId="2" fillId="11" borderId="0" xfId="0" applyFont="1" applyFill="1"/>
    <xf numFmtId="4" fontId="2" fillId="11" borderId="0" xfId="0" applyNumberFormat="1" applyFont="1" applyFill="1"/>
    <xf numFmtId="166" fontId="37" fillId="11" borderId="33" xfId="11" applyNumberFormat="1" applyFont="1" applyFill="1" applyBorder="1" applyAlignment="1" applyProtection="1">
      <alignment horizontal="left" vertical="center" indent="1"/>
    </xf>
    <xf numFmtId="0" fontId="1" fillId="11" borderId="0" xfId="0" applyFont="1" applyFill="1"/>
    <xf numFmtId="0" fontId="75" fillId="0" borderId="1" xfId="0" applyFont="1" applyBorder="1" applyAlignment="1">
      <alignment vertical="center"/>
    </xf>
    <xf numFmtId="49" fontId="129" fillId="11" borderId="1" xfId="0" applyNumberFormat="1" applyFont="1" applyFill="1" applyBorder="1" applyAlignment="1">
      <alignment horizontal="center" vertical="center"/>
    </xf>
    <xf numFmtId="0" fontId="130" fillId="11" borderId="1" xfId="0" applyFont="1" applyFill="1" applyBorder="1" applyAlignment="1">
      <alignment horizontal="center" vertical="center" wrapText="1"/>
    </xf>
    <xf numFmtId="49" fontId="129" fillId="11" borderId="1" xfId="3" applyNumberFormat="1" applyFont="1" applyFill="1" applyBorder="1" applyAlignment="1">
      <alignment horizontal="center" vertical="center"/>
    </xf>
    <xf numFmtId="0" fontId="130" fillId="11" borderId="1" xfId="3" applyFont="1" applyFill="1" applyBorder="1" applyAlignment="1">
      <alignment horizontal="center" vertical="center" wrapText="1"/>
    </xf>
    <xf numFmtId="0" fontId="130" fillId="11" borderId="1" xfId="3" applyFont="1" applyFill="1" applyBorder="1" applyAlignment="1">
      <alignment horizontal="center" wrapText="1"/>
    </xf>
    <xf numFmtId="0" fontId="130" fillId="11" borderId="1" xfId="0" applyFont="1" applyFill="1" applyBorder="1" applyAlignment="1">
      <alignment horizontal="center"/>
    </xf>
    <xf numFmtId="0" fontId="130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31" fillId="11" borderId="1" xfId="0" applyNumberFormat="1" applyFont="1" applyFill="1" applyBorder="1" applyAlignment="1">
      <alignment horizontal="center" vertical="top" wrapText="1"/>
    </xf>
    <xf numFmtId="0" fontId="132" fillId="11" borderId="1" xfId="0" applyFont="1" applyFill="1" applyBorder="1" applyAlignment="1">
      <alignment horizontal="left" vertical="top" wrapText="1"/>
    </xf>
    <xf numFmtId="3" fontId="132" fillId="11" borderId="1" xfId="0" applyNumberFormat="1" applyFont="1" applyFill="1" applyBorder="1" applyAlignment="1">
      <alignment horizontal="left" vertical="top" wrapText="1"/>
    </xf>
    <xf numFmtId="3" fontId="131" fillId="11" borderId="1" xfId="0" applyNumberFormat="1" applyFont="1" applyFill="1" applyBorder="1" applyAlignment="1">
      <alignment horizontal="right" vertical="top" wrapText="1"/>
    </xf>
    <xf numFmtId="0" fontId="131" fillId="11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129" fillId="11" borderId="1" xfId="3" applyNumberFormat="1" applyFont="1" applyFill="1" applyBorder="1" applyAlignment="1">
      <alignment horizontal="center" vertical="center" wrapText="1"/>
    </xf>
    <xf numFmtId="0" fontId="129" fillId="11" borderId="1" xfId="0" applyFont="1" applyFill="1" applyBorder="1" applyAlignment="1">
      <alignment horizontal="center" wrapText="1"/>
    </xf>
    <xf numFmtId="0" fontId="64" fillId="0" borderId="16" xfId="0" applyFont="1" applyBorder="1" applyAlignment="1">
      <alignment horizontal="center" vertical="center"/>
    </xf>
    <xf numFmtId="0" fontId="64" fillId="0" borderId="22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75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24" fillId="0" borderId="1" xfId="0" applyFont="1" applyBorder="1" applyAlignment="1">
      <alignment horizontal="center"/>
    </xf>
    <xf numFmtId="0" fontId="124" fillId="0" borderId="1" xfId="0" applyFont="1" applyBorder="1"/>
    <xf numFmtId="4" fontId="0" fillId="0" borderId="0" xfId="0" applyNumberFormat="1" applyAlignment="1">
      <alignment horizontal="center" wrapText="1"/>
    </xf>
    <xf numFmtId="0" fontId="124" fillId="0" borderId="17" xfId="0" applyFont="1" applyBorder="1" applyAlignment="1">
      <alignment horizontal="center"/>
    </xf>
    <xf numFmtId="0" fontId="124" fillId="0" borderId="17" xfId="0" applyFont="1" applyBorder="1"/>
    <xf numFmtId="0" fontId="9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/>
    <xf numFmtId="49" fontId="30" fillId="11" borderId="1" xfId="0" applyNumberFormat="1" applyFont="1" applyFill="1" applyBorder="1" applyAlignment="1">
      <alignment horizontal="center" vertical="center" wrapText="1"/>
    </xf>
    <xf numFmtId="0" fontId="18" fillId="11" borderId="1" xfId="3" applyFont="1" applyFill="1" applyBorder="1" applyAlignment="1">
      <alignment horizontal="center" vertical="center"/>
    </xf>
    <xf numFmtId="0" fontId="18" fillId="11" borderId="1" xfId="3" applyFont="1" applyFill="1" applyBorder="1" applyAlignment="1">
      <alignment horizontal="left" vertical="center"/>
    </xf>
    <xf numFmtId="0" fontId="9" fillId="11" borderId="1" xfId="38" applyNumberFormat="1" applyFont="1" applyFill="1" applyBorder="1" applyAlignment="1" applyProtection="1">
      <alignment horizontal="center" vertical="center" wrapText="1"/>
    </xf>
    <xf numFmtId="49" fontId="30" fillId="11" borderId="1" xfId="0" applyNumberFormat="1" applyFont="1" applyFill="1" applyBorder="1" applyAlignment="1">
      <alignment horizontal="center" vertical="center"/>
    </xf>
    <xf numFmtId="3" fontId="56" fillId="11" borderId="1" xfId="0" applyNumberFormat="1" applyFont="1" applyFill="1" applyBorder="1" applyAlignment="1">
      <alignment horizontal="left" vertical="center" wrapText="1"/>
    </xf>
    <xf numFmtId="49" fontId="9" fillId="11" borderId="17" xfId="0" applyNumberFormat="1" applyFont="1" applyFill="1" applyBorder="1" applyAlignment="1">
      <alignment horizontal="center" vertical="center" wrapText="1"/>
    </xf>
    <xf numFmtId="0" fontId="18" fillId="11" borderId="17" xfId="3" applyFont="1" applyFill="1" applyBorder="1" applyAlignment="1">
      <alignment horizontal="center" vertical="center"/>
    </xf>
    <xf numFmtId="3" fontId="56" fillId="11" borderId="17" xfId="0" applyNumberFormat="1" applyFont="1" applyFill="1" applyBorder="1" applyAlignment="1">
      <alignment horizontal="left" vertical="center" wrapText="1"/>
    </xf>
    <xf numFmtId="49" fontId="0" fillId="11" borderId="1" xfId="0" applyNumberForma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11" borderId="17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49" fontId="18" fillId="11" borderId="11" xfId="3" applyNumberFormat="1" applyFont="1" applyFill="1" applyBorder="1" applyAlignment="1">
      <alignment horizontal="center" vertical="center"/>
    </xf>
    <xf numFmtId="49" fontId="18" fillId="11" borderId="1" xfId="37" applyNumberFormat="1" applyFont="1" applyFill="1" applyBorder="1" applyAlignment="1">
      <alignment horizontal="center" vertical="center" wrapText="1"/>
    </xf>
    <xf numFmtId="0" fontId="18" fillId="11" borderId="1" xfId="37" applyFont="1" applyFill="1" applyBorder="1" applyAlignment="1">
      <alignment horizontal="center" vertical="center" wrapText="1"/>
    </xf>
    <xf numFmtId="0" fontId="18" fillId="11" borderId="1" xfId="37" applyFont="1" applyFill="1" applyBorder="1" applyAlignment="1">
      <alignment vertical="center" wrapText="1"/>
    </xf>
    <xf numFmtId="0" fontId="133" fillId="11" borderId="1" xfId="37" applyFont="1" applyFill="1" applyBorder="1" applyAlignment="1">
      <alignment horizontal="center" vertical="center" wrapText="1"/>
    </xf>
    <xf numFmtId="0" fontId="18" fillId="11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8" fillId="11" borderId="1" xfId="3" applyNumberFormat="1" applyFont="1" applyFill="1" applyBorder="1" applyAlignment="1">
      <alignment horizontal="center" vertical="center"/>
    </xf>
    <xf numFmtId="0" fontId="18" fillId="11" borderId="1" xfId="3" applyFont="1" applyFill="1" applyBorder="1" applyAlignment="1">
      <alignment vertical="center" wrapText="1"/>
    </xf>
    <xf numFmtId="0" fontId="104" fillId="11" borderId="1" xfId="3" applyFont="1" applyFill="1" applyBorder="1" applyAlignment="1">
      <alignment horizontal="center" vertical="center" wrapText="1"/>
    </xf>
    <xf numFmtId="0" fontId="56" fillId="11" borderId="52" xfId="0" applyFont="1" applyFill="1" applyBorder="1" applyAlignment="1">
      <alignment horizontal="center" wrapText="1"/>
    </xf>
    <xf numFmtId="0" fontId="54" fillId="11" borderId="1" xfId="0" applyFont="1" applyFill="1" applyBorder="1" applyAlignment="1">
      <alignment vertical="center"/>
    </xf>
    <xf numFmtId="0" fontId="133" fillId="0" borderId="0" xfId="0" applyFont="1" applyAlignment="1">
      <alignment horizontal="center" wrapText="1"/>
    </xf>
    <xf numFmtId="0" fontId="54" fillId="11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/>
    <xf numFmtId="0" fontId="9" fillId="11" borderId="1" xfId="0" applyFont="1" applyFill="1" applyBorder="1" applyAlignment="1">
      <alignment vertical="center"/>
    </xf>
    <xf numFmtId="0" fontId="9" fillId="11" borderId="15" xfId="0" applyFont="1" applyFill="1" applyBorder="1" applyAlignment="1">
      <alignment vertical="center"/>
    </xf>
    <xf numFmtId="3" fontId="75" fillId="11" borderId="57" xfId="0" applyNumberFormat="1" applyFont="1" applyFill="1" applyBorder="1" applyAlignment="1">
      <alignment vertical="center"/>
    </xf>
    <xf numFmtId="0" fontId="9" fillId="23" borderId="12" xfId="0" applyFont="1" applyFill="1" applyBorder="1" applyAlignment="1">
      <alignment vertical="center"/>
    </xf>
    <xf numFmtId="0" fontId="9" fillId="23" borderId="16" xfId="0" applyFont="1" applyFill="1" applyBorder="1" applyAlignment="1">
      <alignment vertical="center"/>
    </xf>
    <xf numFmtId="3" fontId="75" fillId="11" borderId="0" xfId="0" applyNumberFormat="1" applyFont="1" applyFill="1"/>
    <xf numFmtId="3" fontId="9" fillId="11" borderId="1" xfId="0" applyNumberFormat="1" applyFont="1" applyFill="1" applyBorder="1" applyAlignment="1">
      <alignment vertical="center"/>
    </xf>
    <xf numFmtId="0" fontId="9" fillId="11" borderId="11" xfId="0" applyFont="1" applyFill="1" applyBorder="1"/>
    <xf numFmtId="0" fontId="9" fillId="11" borderId="17" xfId="0" applyFont="1" applyFill="1" applyBorder="1"/>
    <xf numFmtId="0" fontId="9" fillId="11" borderId="17" xfId="0" applyFont="1" applyFill="1" applyBorder="1" applyAlignment="1">
      <alignment vertical="center"/>
    </xf>
    <xf numFmtId="0" fontId="9" fillId="23" borderId="18" xfId="0" applyFont="1" applyFill="1" applyBorder="1" applyAlignment="1">
      <alignment vertical="center"/>
    </xf>
    <xf numFmtId="0" fontId="9" fillId="23" borderId="15" xfId="0" applyFont="1" applyFill="1" applyBorder="1" applyAlignment="1">
      <alignment vertical="center"/>
    </xf>
    <xf numFmtId="0" fontId="9" fillId="23" borderId="1" xfId="0" applyFont="1" applyFill="1" applyBorder="1" applyAlignment="1">
      <alignment vertical="center"/>
    </xf>
    <xf numFmtId="0" fontId="9" fillId="11" borderId="11" xfId="0" applyFont="1" applyFill="1" applyBorder="1" applyAlignment="1">
      <alignment vertical="center"/>
    </xf>
    <xf numFmtId="0" fontId="9" fillId="23" borderId="21" xfId="0" applyFont="1" applyFill="1" applyBorder="1" applyAlignment="1">
      <alignment vertical="center"/>
    </xf>
    <xf numFmtId="0" fontId="9" fillId="23" borderId="35" xfId="0" applyFont="1" applyFill="1" applyBorder="1" applyAlignment="1">
      <alignment vertical="center"/>
    </xf>
    <xf numFmtId="0" fontId="9" fillId="11" borderId="0" xfId="0" applyFont="1" applyFill="1" applyBorder="1" applyAlignment="1">
      <alignment vertical="center"/>
    </xf>
    <xf numFmtId="0" fontId="9" fillId="11" borderId="12" xfId="0" applyFont="1" applyFill="1" applyBorder="1"/>
    <xf numFmtId="3" fontId="9" fillId="11" borderId="15" xfId="0" applyNumberFormat="1" applyFont="1" applyFill="1" applyBorder="1" applyAlignment="1">
      <alignment vertical="center"/>
    </xf>
    <xf numFmtId="3" fontId="9" fillId="11" borderId="57" xfId="0" applyNumberFormat="1" applyFont="1" applyFill="1" applyBorder="1" applyAlignment="1">
      <alignment vertical="center"/>
    </xf>
    <xf numFmtId="3" fontId="9" fillId="11" borderId="12" xfId="0" applyNumberFormat="1" applyFont="1" applyFill="1" applyBorder="1" applyAlignment="1">
      <alignment vertical="center"/>
    </xf>
    <xf numFmtId="3" fontId="9" fillId="11" borderId="11" xfId="0" applyNumberFormat="1" applyFont="1" applyFill="1" applyBorder="1" applyAlignment="1">
      <alignment vertical="center"/>
    </xf>
    <xf numFmtId="3" fontId="124" fillId="11" borderId="12" xfId="3" applyNumberFormat="1" applyFont="1" applyFill="1" applyBorder="1"/>
    <xf numFmtId="3" fontId="124" fillId="11" borderId="1" xfId="0" applyNumberFormat="1" applyFont="1" applyFill="1" applyBorder="1" applyAlignment="1">
      <alignment wrapText="1"/>
    </xf>
    <xf numFmtId="3" fontId="124" fillId="11" borderId="11" xfId="0" applyNumberFormat="1" applyFont="1" applyFill="1" applyBorder="1"/>
    <xf numFmtId="3" fontId="134" fillId="11" borderId="12" xfId="3" applyNumberFormat="1" applyFont="1" applyFill="1" applyBorder="1"/>
    <xf numFmtId="0" fontId="9" fillId="11" borderId="11" xfId="0" applyFont="1" applyFill="1" applyBorder="1" applyAlignment="1">
      <alignment horizontal="center" vertical="center" wrapText="1"/>
    </xf>
    <xf numFmtId="3" fontId="75" fillId="11" borderId="16" xfId="0" applyNumberFormat="1" applyFont="1" applyFill="1" applyBorder="1" applyAlignment="1">
      <alignment vertical="center"/>
    </xf>
    <xf numFmtId="3" fontId="75" fillId="11" borderId="29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wrapText="1"/>
    </xf>
    <xf numFmtId="3" fontId="9" fillId="11" borderId="1" xfId="0" applyNumberFormat="1" applyFont="1" applyFill="1" applyBorder="1" applyAlignment="1">
      <alignment wrapText="1"/>
    </xf>
    <xf numFmtId="3" fontId="9" fillId="11" borderId="11" xfId="0" applyNumberFormat="1" applyFont="1" applyFill="1" applyBorder="1"/>
    <xf numFmtId="0" fontId="9" fillId="23" borderId="1" xfId="0" applyFont="1" applyFill="1" applyBorder="1"/>
    <xf numFmtId="0" fontId="9" fillId="23" borderId="1" xfId="0" applyFont="1" applyFill="1" applyBorder="1" applyAlignment="1">
      <alignment horizontal="center" vertical="center" wrapText="1"/>
    </xf>
    <xf numFmtId="3" fontId="9" fillId="11" borderId="17" xfId="0" applyNumberFormat="1" applyFont="1" applyFill="1" applyBorder="1"/>
    <xf numFmtId="0" fontId="24" fillId="23" borderId="1" xfId="0" applyFont="1" applyFill="1" applyBorder="1"/>
    <xf numFmtId="3" fontId="24" fillId="23" borderId="16" xfId="0" applyNumberFormat="1" applyFont="1" applyFill="1" applyBorder="1"/>
    <xf numFmtId="0" fontId="24" fillId="23" borderId="12" xfId="0" applyFont="1" applyFill="1" applyBorder="1"/>
    <xf numFmtId="0" fontId="24" fillId="23" borderId="16" xfId="0" applyFont="1" applyFill="1" applyBorder="1"/>
    <xf numFmtId="3" fontId="9" fillId="11" borderId="29" xfId="0" applyNumberFormat="1" applyFont="1" applyFill="1" applyBorder="1"/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 applyBorder="1"/>
    <xf numFmtId="3" fontId="5" fillId="11" borderId="0" xfId="0" applyNumberFormat="1" applyFont="1" applyFill="1" applyBorder="1"/>
    <xf numFmtId="165" fontId="107" fillId="6" borderId="33" xfId="10" applyNumberFormat="1" applyFont="1" applyFill="1" applyBorder="1" applyAlignment="1" applyProtection="1">
      <alignment horizontal="right" vertical="center"/>
    </xf>
    <xf numFmtId="0" fontId="56" fillId="11" borderId="1" xfId="0" applyFont="1" applyFill="1" applyBorder="1" applyAlignment="1">
      <alignment horizontal="center" vertical="center" wrapText="1"/>
    </xf>
    <xf numFmtId="0" fontId="56" fillId="11" borderId="1" xfId="3" applyFont="1" applyFill="1" applyBorder="1" applyAlignment="1">
      <alignment horizontal="center" vertical="center"/>
    </xf>
    <xf numFmtId="0" fontId="56" fillId="11" borderId="1" xfId="3" applyFont="1" applyFill="1" applyBorder="1" applyAlignment="1">
      <alignment horizontal="left" vertical="center"/>
    </xf>
    <xf numFmtId="0" fontId="56" fillId="11" borderId="1" xfId="3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/>
    </xf>
    <xf numFmtId="0" fontId="56" fillId="11" borderId="1" xfId="0" applyFont="1" applyFill="1" applyBorder="1" applyAlignment="1">
      <alignment horizontal="center" wrapText="1"/>
    </xf>
    <xf numFmtId="0" fontId="57" fillId="0" borderId="1" xfId="0" applyFont="1" applyBorder="1"/>
    <xf numFmtId="0" fontId="56" fillId="11" borderId="1" xfId="3" applyFont="1" applyFill="1" applyBorder="1" applyAlignment="1">
      <alignment horizontal="center"/>
    </xf>
    <xf numFmtId="0" fontId="56" fillId="11" borderId="1" xfId="3" applyFont="1" applyFill="1" applyBorder="1"/>
    <xf numFmtId="0" fontId="56" fillId="11" borderId="1" xfId="3" applyFont="1" applyFill="1" applyBorder="1" applyAlignment="1">
      <alignment horizontal="center" wrapText="1"/>
    </xf>
    <xf numFmtId="0" fontId="56" fillId="11" borderId="1" xfId="37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top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left" vertical="top" wrapText="1"/>
    </xf>
    <xf numFmtId="0" fontId="57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 wrapText="1"/>
    </xf>
    <xf numFmtId="0" fontId="24" fillId="11" borderId="1" xfId="0" applyFont="1" applyFill="1" applyBorder="1" applyAlignment="1">
      <alignment horizontal="left" vertical="top" wrapText="1"/>
    </xf>
    <xf numFmtId="0" fontId="56" fillId="11" borderId="1" xfId="0" applyFont="1" applyFill="1" applyBorder="1" applyAlignment="1">
      <alignment horizontal="left" vertical="top" wrapText="1"/>
    </xf>
    <xf numFmtId="0" fontId="57" fillId="0" borderId="1" xfId="0" applyFont="1" applyBorder="1" applyAlignment="1">
      <alignment wrapText="1"/>
    </xf>
    <xf numFmtId="0" fontId="135" fillId="11" borderId="1" xfId="0" applyFont="1" applyFill="1" applyBorder="1" applyAlignment="1">
      <alignment horizontal="center"/>
    </xf>
    <xf numFmtId="0" fontId="135" fillId="11" borderId="1" xfId="0" applyFont="1" applyFill="1" applyBorder="1" applyAlignment="1">
      <alignment wrapText="1"/>
    </xf>
    <xf numFmtId="0" fontId="57" fillId="0" borderId="0" xfId="0" applyFont="1" applyAlignment="1">
      <alignment horizontal="center"/>
    </xf>
    <xf numFmtId="0" fontId="56" fillId="11" borderId="1" xfId="0" applyFont="1" applyFill="1" applyBorder="1" applyAlignment="1">
      <alignment wrapText="1"/>
    </xf>
    <xf numFmtId="0" fontId="57" fillId="0" borderId="1" xfId="0" applyFont="1" applyBorder="1" applyAlignment="1">
      <alignment horizontal="right" wrapText="1"/>
    </xf>
    <xf numFmtId="0" fontId="57" fillId="0" borderId="0" xfId="0" applyFont="1"/>
    <xf numFmtId="0" fontId="135" fillId="11" borderId="1" xfId="0" applyFont="1" applyFill="1" applyBorder="1"/>
    <xf numFmtId="0" fontId="22" fillId="11" borderId="1" xfId="0" applyFont="1" applyFill="1" applyBorder="1" applyAlignment="1">
      <alignment horizontal="center" vertical="top" wrapText="1"/>
    </xf>
    <xf numFmtId="0" fontId="56" fillId="11" borderId="1" xfId="3" applyFont="1" applyFill="1" applyBorder="1" applyAlignment="1">
      <alignment horizontal="left" vertical="center" wrapText="1"/>
    </xf>
    <xf numFmtId="0" fontId="56" fillId="11" borderId="1" xfId="3" applyFont="1" applyFill="1" applyBorder="1" applyAlignment="1">
      <alignment wrapText="1"/>
    </xf>
    <xf numFmtId="0" fontId="56" fillId="11" borderId="1" xfId="3" applyFont="1" applyFill="1" applyBorder="1" applyAlignment="1">
      <alignment vertical="center"/>
    </xf>
    <xf numFmtId="0" fontId="56" fillId="11" borderId="1" xfId="3" applyFont="1" applyFill="1" applyBorder="1" applyAlignment="1">
      <alignment vertical="center" wrapText="1"/>
    </xf>
    <xf numFmtId="0" fontId="57" fillId="11" borderId="1" xfId="0" applyFont="1" applyFill="1" applyBorder="1" applyAlignment="1">
      <alignment wrapText="1"/>
    </xf>
    <xf numFmtId="0" fontId="57" fillId="11" borderId="1" xfId="0" applyFont="1" applyFill="1" applyBorder="1" applyAlignment="1">
      <alignment horizontal="center" vertical="center" wrapText="1"/>
    </xf>
    <xf numFmtId="0" fontId="57" fillId="11" borderId="17" xfId="0" applyFont="1" applyFill="1" applyBorder="1" applyAlignment="1">
      <alignment wrapText="1"/>
    </xf>
    <xf numFmtId="0" fontId="57" fillId="11" borderId="17" xfId="0" applyFont="1" applyFill="1" applyBorder="1" applyAlignment="1">
      <alignment horizontal="center" vertical="center" wrapText="1"/>
    </xf>
    <xf numFmtId="0" fontId="57" fillId="11" borderId="17" xfId="0" applyFont="1" applyFill="1" applyBorder="1"/>
    <xf numFmtId="0" fontId="54" fillId="11" borderId="1" xfId="0" applyFont="1" applyFill="1" applyBorder="1"/>
    <xf numFmtId="0" fontId="133" fillId="11" borderId="1" xfId="0" applyFont="1" applyFill="1" applyBorder="1" applyAlignment="1">
      <alignment horizontal="center" wrapText="1"/>
    </xf>
    <xf numFmtId="0" fontId="56" fillId="11" borderId="16" xfId="3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56" fillId="0" borderId="1" xfId="0" applyFont="1" applyFill="1" applyBorder="1" applyAlignment="1">
      <alignment horizontal="center" vertical="center" wrapText="1"/>
    </xf>
    <xf numFmtId="3" fontId="24" fillId="11" borderId="1" xfId="21" applyNumberFormat="1" applyFont="1" applyFill="1" applyBorder="1" applyAlignment="1">
      <alignment horizontal="center" vertical="center" wrapText="1"/>
    </xf>
    <xf numFmtId="3" fontId="18" fillId="11" borderId="1" xfId="0" quotePrefix="1" applyNumberFormat="1" applyFont="1" applyFill="1" applyBorder="1" applyAlignment="1">
      <alignment horizontal="center" vertical="center"/>
    </xf>
    <xf numFmtId="0" fontId="9" fillId="11" borderId="0" xfId="22" applyFont="1" applyFill="1" applyAlignment="1">
      <alignment horizontal="left" vertical="center" wrapText="1"/>
    </xf>
    <xf numFmtId="0" fontId="21" fillId="11" borderId="1" xfId="22" applyFont="1" applyFill="1" applyBorder="1" applyAlignment="1">
      <alignment horizontal="center" vertical="center"/>
    </xf>
    <xf numFmtId="3" fontId="23" fillId="11" borderId="29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right" vertical="center"/>
    </xf>
    <xf numFmtId="3" fontId="9" fillId="11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right" vertical="center" wrapText="1"/>
    </xf>
    <xf numFmtId="0" fontId="136" fillId="11" borderId="1" xfId="0" applyFont="1" applyFill="1" applyBorder="1" applyAlignment="1">
      <alignment horizontal="right" vertical="center" wrapText="1"/>
    </xf>
    <xf numFmtId="0" fontId="111" fillId="0" borderId="0" xfId="0" applyFont="1" applyFill="1" applyBorder="1"/>
    <xf numFmtId="0" fontId="111" fillId="0" borderId="0" xfId="0" applyFont="1" applyFill="1"/>
    <xf numFmtId="0" fontId="111" fillId="0" borderId="0" xfId="0" applyFont="1" applyFill="1" applyBorder="1" applyAlignment="1">
      <alignment horizontal="center"/>
    </xf>
    <xf numFmtId="0" fontId="11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 wrapText="1"/>
    </xf>
    <xf numFmtId="3" fontId="76" fillId="11" borderId="1" xfId="19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10" fontId="13" fillId="11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0" fontId="35" fillId="0" borderId="17" xfId="0" applyFont="1" applyBorder="1" applyAlignment="1">
      <alignment horizontal="center" vertical="center" wrapText="1"/>
    </xf>
    <xf numFmtId="3" fontId="2" fillId="11" borderId="17" xfId="0" applyNumberFormat="1" applyFont="1" applyFill="1" applyBorder="1"/>
    <xf numFmtId="3" fontId="24" fillId="11" borderId="17" xfId="0" applyNumberFormat="1" applyFont="1" applyFill="1" applyBorder="1" applyAlignment="1">
      <alignment horizontal="center" vertical="center"/>
    </xf>
    <xf numFmtId="0" fontId="2" fillId="11" borderId="17" xfId="0" applyFont="1" applyFill="1" applyBorder="1"/>
    <xf numFmtId="0" fontId="2" fillId="0" borderId="63" xfId="0" applyFont="1" applyBorder="1"/>
    <xf numFmtId="0" fontId="2" fillId="0" borderId="23" xfId="0" applyFont="1" applyBorder="1"/>
    <xf numFmtId="0" fontId="2" fillId="11" borderId="23" xfId="0" applyFont="1" applyFill="1" applyBorder="1"/>
    <xf numFmtId="3" fontId="2" fillId="11" borderId="23" xfId="0" applyNumberFormat="1" applyFont="1" applyFill="1" applyBorder="1"/>
    <xf numFmtId="3" fontId="2" fillId="11" borderId="64" xfId="0" applyNumberFormat="1" applyFont="1" applyFill="1" applyBorder="1"/>
    <xf numFmtId="0" fontId="21" fillId="14" borderId="1" xfId="3" applyFont="1" applyFill="1" applyBorder="1" applyAlignment="1">
      <alignment vertical="center"/>
    </xf>
    <xf numFmtId="166" fontId="38" fillId="0" borderId="31" xfId="11" applyNumberFormat="1" applyFont="1" applyBorder="1" applyAlignment="1" applyProtection="1">
      <alignment horizontal="left" vertical="center" wrapText="1"/>
    </xf>
    <xf numFmtId="166" fontId="38" fillId="0" borderId="32" xfId="11" applyNumberFormat="1" applyFont="1" applyBorder="1" applyAlignment="1" applyProtection="1">
      <alignment horizontal="left" vertical="center" wrapText="1"/>
    </xf>
    <xf numFmtId="0" fontId="11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19" fillId="2" borderId="0" xfId="2" applyFont="1" applyFill="1" applyAlignment="1">
      <alignment horizontal="center"/>
    </xf>
    <xf numFmtId="166" fontId="37" fillId="0" borderId="44" xfId="11" applyNumberFormat="1" applyFont="1" applyFill="1" applyBorder="1" applyAlignment="1" applyProtection="1">
      <alignment horizontal="center" vertical="center"/>
    </xf>
    <xf numFmtId="166" fontId="37" fillId="0" borderId="0" xfId="11" applyNumberFormat="1" applyFont="1" applyFill="1" applyBorder="1" applyAlignment="1" applyProtection="1">
      <alignment horizontal="center" vertical="center"/>
    </xf>
    <xf numFmtId="0" fontId="9" fillId="0" borderId="28" xfId="2" applyFont="1" applyBorder="1" applyAlignment="1" applyProtection="1">
      <alignment horizontal="center"/>
    </xf>
    <xf numFmtId="166" fontId="38" fillId="0" borderId="44" xfId="11" applyNumberFormat="1" applyFont="1" applyBorder="1" applyAlignment="1" applyProtection="1">
      <alignment horizontal="center" vertical="center"/>
    </xf>
    <xf numFmtId="166" fontId="38" fillId="0" borderId="0" xfId="11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3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3" fontId="24" fillId="0" borderId="1" xfId="0" applyNumberFormat="1" applyFont="1" applyFill="1" applyBorder="1" applyAlignment="1" applyProtection="1">
      <alignment horizontal="center" vertical="center" textRotation="90" wrapText="1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166" fontId="37" fillId="0" borderId="44" xfId="11" applyNumberFormat="1" applyFont="1" applyBorder="1" applyAlignment="1" applyProtection="1">
      <alignment horizontal="center" vertical="center"/>
    </xf>
    <xf numFmtId="166" fontId="37" fillId="0" borderId="0" xfId="11" applyNumberFormat="1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textRotation="90" wrapText="1"/>
    </xf>
    <xf numFmtId="0" fontId="22" fillId="0" borderId="1" xfId="2" applyFont="1" applyBorder="1" applyAlignment="1" applyProtection="1">
      <alignment horizontal="center" vertical="center" wrapText="1"/>
    </xf>
    <xf numFmtId="0" fontId="22" fillId="2" borderId="1" xfId="8" applyFont="1" applyFill="1" applyBorder="1" applyAlignment="1" applyProtection="1">
      <alignment horizontal="center" vertical="center" wrapText="1"/>
    </xf>
    <xf numFmtId="0" fontId="0" fillId="0" borderId="60" xfId="0" applyBorder="1" applyAlignment="1">
      <alignment horizontal="center"/>
    </xf>
    <xf numFmtId="0" fontId="24" fillId="0" borderId="1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/>
    </xf>
    <xf numFmtId="166" fontId="37" fillId="11" borderId="44" xfId="11" applyNumberFormat="1" applyFont="1" applyFill="1" applyBorder="1" applyAlignment="1" applyProtection="1">
      <alignment horizontal="center" vertical="center"/>
    </xf>
    <xf numFmtId="166" fontId="37" fillId="11" borderId="0" xfId="11" applyNumberFormat="1" applyFont="1" applyFill="1" applyBorder="1" applyAlignment="1" applyProtection="1">
      <alignment horizontal="center" vertical="center"/>
    </xf>
    <xf numFmtId="165" fontId="36" fillId="6" borderId="31" xfId="10" applyNumberFormat="1" applyFont="1" applyFill="1" applyBorder="1" applyAlignment="1" applyProtection="1">
      <alignment horizontal="right" vertical="center" wrapText="1"/>
    </xf>
    <xf numFmtId="165" fontId="36" fillId="15" borderId="33" xfId="10" applyNumberFormat="1" applyFont="1" applyFill="1" applyBorder="1" applyAlignment="1" applyProtection="1">
      <alignment horizontal="right" vertical="center" wrapText="1"/>
    </xf>
    <xf numFmtId="14" fontId="57" fillId="11" borderId="0" xfId="2" applyNumberFormat="1" applyFont="1" applyFill="1" applyAlignment="1">
      <alignment horizontal="center"/>
    </xf>
    <xf numFmtId="0" fontId="57" fillId="11" borderId="0" xfId="2" applyFont="1" applyFill="1" applyAlignment="1">
      <alignment horizontal="center"/>
    </xf>
    <xf numFmtId="0" fontId="24" fillId="0" borderId="8" xfId="2" applyFont="1" applyFill="1" applyBorder="1" applyAlignment="1">
      <alignment horizontal="center" vertical="center" wrapText="1"/>
    </xf>
    <xf numFmtId="0" fontId="22" fillId="11" borderId="1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11" borderId="16" xfId="2" applyFont="1" applyFill="1" applyBorder="1" applyAlignment="1">
      <alignment horizontal="center" vertical="center" wrapText="1"/>
    </xf>
    <xf numFmtId="0" fontId="22" fillId="11" borderId="12" xfId="2" applyFont="1" applyFill="1" applyBorder="1" applyAlignment="1">
      <alignment horizontal="center" vertical="center" wrapText="1"/>
    </xf>
    <xf numFmtId="0" fontId="22" fillId="11" borderId="22" xfId="2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165" fontId="36" fillId="6" borderId="31" xfId="10" applyNumberFormat="1" applyFont="1" applyFill="1" applyBorder="1" applyAlignment="1" applyProtection="1">
      <alignment horizontal="center" vertical="center"/>
    </xf>
    <xf numFmtId="165" fontId="36" fillId="6" borderId="33" xfId="10" applyNumberFormat="1" applyFont="1" applyFill="1" applyBorder="1" applyAlignment="1" applyProtection="1">
      <alignment horizontal="center" vertical="center"/>
    </xf>
    <xf numFmtId="166" fontId="37" fillId="0" borderId="31" xfId="11" applyNumberFormat="1" applyFont="1" applyBorder="1" applyAlignment="1" applyProtection="1">
      <alignment horizontal="center" vertical="center"/>
    </xf>
    <xf numFmtId="166" fontId="37" fillId="0" borderId="32" xfId="11" applyNumberFormat="1" applyFont="1" applyBorder="1" applyAlignment="1" applyProtection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166" fontId="38" fillId="0" borderId="45" xfId="11" applyNumberFormat="1" applyFont="1" applyBorder="1" applyAlignment="1" applyProtection="1">
      <alignment horizontal="center" vertical="center"/>
    </xf>
    <xf numFmtId="166" fontId="38" fillId="0" borderId="46" xfId="11" applyNumberFormat="1" applyFont="1" applyBorder="1" applyAlignment="1" applyProtection="1">
      <alignment horizontal="center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23" fillId="0" borderId="16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3" fontId="63" fillId="11" borderId="48" xfId="11" applyNumberFormat="1" applyFont="1" applyFill="1" applyBorder="1" applyAlignment="1" applyProtection="1">
      <alignment horizontal="center" vertical="center" wrapText="1"/>
    </xf>
    <xf numFmtId="3" fontId="63" fillId="11" borderId="28" xfId="11" applyNumberFormat="1" applyFont="1" applyFill="1" applyBorder="1" applyAlignment="1" applyProtection="1">
      <alignment horizontal="center" vertical="center" wrapText="1"/>
    </xf>
    <xf numFmtId="0" fontId="7" fillId="0" borderId="16" xfId="19" applyFont="1" applyFill="1" applyBorder="1" applyAlignment="1">
      <alignment horizontal="center" vertical="center" wrapText="1"/>
    </xf>
    <xf numFmtId="0" fontId="7" fillId="0" borderId="22" xfId="19" applyFont="1" applyFill="1" applyBorder="1" applyAlignment="1">
      <alignment horizontal="center" vertical="center" wrapText="1"/>
    </xf>
    <xf numFmtId="0" fontId="7" fillId="0" borderId="12" xfId="19" applyFont="1" applyFill="1" applyBorder="1" applyAlignment="1">
      <alignment horizontal="center" vertical="center" wrapText="1"/>
    </xf>
    <xf numFmtId="0" fontId="32" fillId="0" borderId="16" xfId="3" applyFont="1" applyFill="1" applyBorder="1" applyAlignment="1">
      <alignment horizontal="center" vertical="center"/>
    </xf>
    <xf numFmtId="0" fontId="32" fillId="0" borderId="22" xfId="3" applyFont="1" applyFill="1" applyBorder="1" applyAlignment="1">
      <alignment horizontal="center" vertical="center"/>
    </xf>
    <xf numFmtId="0" fontId="24" fillId="0" borderId="16" xfId="3" applyFont="1" applyBorder="1" applyAlignment="1">
      <alignment horizontal="center" vertical="center" wrapText="1"/>
    </xf>
    <xf numFmtId="0" fontId="24" fillId="0" borderId="22" xfId="3" applyFont="1" applyBorder="1" applyAlignment="1">
      <alignment horizontal="center" vertical="center" wrapText="1"/>
    </xf>
    <xf numFmtId="0" fontId="24" fillId="0" borderId="12" xfId="3" applyFont="1" applyBorder="1" applyAlignment="1">
      <alignment horizontal="center" vertical="center" wrapText="1"/>
    </xf>
    <xf numFmtId="3" fontId="63" fillId="11" borderId="44" xfId="11" applyNumberFormat="1" applyFont="1" applyFill="1" applyBorder="1" applyAlignment="1" applyProtection="1">
      <alignment horizontal="center" vertical="center" wrapText="1"/>
    </xf>
    <xf numFmtId="3" fontId="63" fillId="11" borderId="0" xfId="11" applyNumberFormat="1" applyFont="1" applyFill="1" applyBorder="1" applyAlignment="1" applyProtection="1">
      <alignment horizontal="center" vertical="center" wrapText="1"/>
    </xf>
    <xf numFmtId="166" fontId="46" fillId="0" borderId="51" xfId="11" applyNumberFormat="1" applyFont="1" applyBorder="1" applyAlignment="1" applyProtection="1">
      <alignment horizontal="center" vertical="center"/>
    </xf>
    <xf numFmtId="166" fontId="46" fillId="0" borderId="0" xfId="11" applyNumberFormat="1" applyFont="1" applyBorder="1" applyAlignment="1" applyProtection="1">
      <alignment horizontal="center" vertical="center"/>
    </xf>
    <xf numFmtId="166" fontId="47" fillId="0" borderId="51" xfId="11" applyNumberFormat="1" applyFont="1" applyBorder="1" applyAlignment="1" applyProtection="1">
      <alignment horizontal="center" vertical="center"/>
    </xf>
    <xf numFmtId="166" fontId="47" fillId="0" borderId="0" xfId="11" applyNumberFormat="1" applyFont="1" applyBorder="1" applyAlignment="1" applyProtection="1">
      <alignment horizontal="center" vertical="center"/>
    </xf>
    <xf numFmtId="0" fontId="56" fillId="10" borderId="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11" borderId="16" xfId="0" applyFont="1" applyFill="1" applyBorder="1" applyAlignment="1">
      <alignment horizontal="center" vertical="center" wrapText="1"/>
    </xf>
    <xf numFmtId="0" fontId="56" fillId="11" borderId="22" xfId="0" applyFont="1" applyFill="1" applyBorder="1" applyAlignment="1">
      <alignment horizontal="center" vertical="center" wrapText="1"/>
    </xf>
    <xf numFmtId="0" fontId="56" fillId="11" borderId="12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90" fillId="11" borderId="15" xfId="0" applyFont="1" applyFill="1" applyBorder="1" applyAlignment="1">
      <alignment horizontal="center" vertical="center" wrapText="1"/>
    </xf>
    <xf numFmtId="0" fontId="90" fillId="11" borderId="50" xfId="0" applyFont="1" applyFill="1" applyBorder="1" applyAlignment="1">
      <alignment horizontal="center" vertical="center" wrapText="1"/>
    </xf>
    <xf numFmtId="3" fontId="115" fillId="11" borderId="16" xfId="0" applyNumberFormat="1" applyFont="1" applyFill="1" applyBorder="1" applyAlignment="1">
      <alignment horizontal="center" vertical="center" wrapText="1"/>
    </xf>
    <xf numFmtId="3" fontId="115" fillId="11" borderId="22" xfId="0" applyNumberFormat="1" applyFont="1" applyFill="1" applyBorder="1" applyAlignment="1">
      <alignment horizontal="center" vertical="center" wrapText="1"/>
    </xf>
    <xf numFmtId="3" fontId="115" fillId="11" borderId="12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3" fontId="24" fillId="11" borderId="1" xfId="17" applyNumberFormat="1" applyFont="1" applyFill="1" applyBorder="1" applyAlignment="1">
      <alignment horizontal="center" vertical="center" wrapText="1"/>
    </xf>
    <xf numFmtId="165" fontId="117" fillId="15" borderId="31" xfId="10" applyNumberFormat="1" applyFont="1" applyFill="1" applyBorder="1" applyAlignment="1" applyProtection="1">
      <alignment horizontal="center" vertical="center" wrapText="1"/>
    </xf>
    <xf numFmtId="165" fontId="117" fillId="15" borderId="33" xfId="10" applyNumberFormat="1" applyFont="1" applyFill="1" applyBorder="1" applyAlignment="1" applyProtection="1">
      <alignment horizontal="center" vertical="center" wrapText="1"/>
    </xf>
    <xf numFmtId="3" fontId="86" fillId="11" borderId="44" xfId="11" applyNumberFormat="1" applyFont="1" applyFill="1" applyBorder="1" applyAlignment="1" applyProtection="1">
      <alignment horizontal="center" vertical="center"/>
    </xf>
    <xf numFmtId="3" fontId="86" fillId="11" borderId="0" xfId="11" applyNumberFormat="1" applyFont="1" applyFill="1" applyBorder="1" applyAlignment="1" applyProtection="1">
      <alignment horizontal="center" vertical="center"/>
    </xf>
    <xf numFmtId="165" fontId="117" fillId="15" borderId="55" xfId="10" applyNumberFormat="1" applyFont="1" applyFill="1" applyBorder="1" applyAlignment="1" applyProtection="1">
      <alignment horizontal="center" vertical="center" wrapText="1"/>
    </xf>
    <xf numFmtId="165" fontId="117" fillId="15" borderId="56" xfId="10" applyNumberFormat="1" applyFont="1" applyFill="1" applyBorder="1" applyAlignment="1" applyProtection="1">
      <alignment horizontal="center" vertical="center" wrapText="1"/>
    </xf>
    <xf numFmtId="3" fontId="117" fillId="11" borderId="44" xfId="11" applyNumberFormat="1" applyFont="1" applyFill="1" applyBorder="1" applyAlignment="1" applyProtection="1">
      <alignment horizontal="center" vertical="center"/>
    </xf>
    <xf numFmtId="3" fontId="117" fillId="11" borderId="0" xfId="11" applyNumberFormat="1" applyFont="1" applyFill="1" applyBorder="1" applyAlignment="1" applyProtection="1">
      <alignment horizontal="center" vertical="center"/>
    </xf>
    <xf numFmtId="165" fontId="118" fillId="11" borderId="1" xfId="10" applyNumberFormat="1" applyFont="1" applyFill="1" applyBorder="1" applyAlignment="1" applyProtection="1">
      <alignment horizontal="center" vertical="center" wrapText="1"/>
    </xf>
    <xf numFmtId="3" fontId="108" fillId="11" borderId="35" xfId="11" applyNumberFormat="1" applyFont="1" applyFill="1" applyBorder="1" applyAlignment="1" applyProtection="1">
      <alignment horizontal="center" vertical="center" wrapText="1"/>
    </xf>
    <xf numFmtId="3" fontId="108" fillId="11" borderId="28" xfId="1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117" fillId="15" borderId="54" xfId="10" applyNumberFormat="1" applyFont="1" applyFill="1" applyBorder="1" applyAlignment="1" applyProtection="1">
      <alignment horizontal="center" vertical="center" wrapText="1"/>
    </xf>
    <xf numFmtId="165" fontId="117" fillId="15" borderId="49" xfId="10" applyNumberFormat="1" applyFont="1" applyFill="1" applyBorder="1" applyAlignment="1" applyProtection="1">
      <alignment horizontal="center" vertical="center" wrapText="1"/>
    </xf>
    <xf numFmtId="49" fontId="86" fillId="11" borderId="44" xfId="11" applyNumberFormat="1" applyFont="1" applyFill="1" applyBorder="1" applyAlignment="1" applyProtection="1">
      <alignment horizontal="center" vertical="center"/>
    </xf>
    <xf numFmtId="49" fontId="86" fillId="11" borderId="0" xfId="11" applyNumberFormat="1" applyFont="1" applyFill="1" applyBorder="1" applyAlignment="1" applyProtection="1">
      <alignment horizontal="center" vertical="center"/>
    </xf>
    <xf numFmtId="165" fontId="25" fillId="15" borderId="45" xfId="10" applyNumberFormat="1" applyFont="1" applyFill="1" applyBorder="1" applyAlignment="1" applyProtection="1">
      <alignment horizontal="center" vertical="center" wrapText="1"/>
    </xf>
    <xf numFmtId="165" fontId="25" fillId="15" borderId="53" xfId="10" applyNumberFormat="1" applyFont="1" applyFill="1" applyBorder="1" applyAlignment="1" applyProtection="1">
      <alignment horizontal="center" vertical="center" wrapText="1"/>
    </xf>
    <xf numFmtId="3" fontId="108" fillId="11" borderId="48" xfId="11" applyNumberFormat="1" applyFont="1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65" fontId="25" fillId="15" borderId="31" xfId="10" applyNumberFormat="1" applyFont="1" applyFill="1" applyBorder="1" applyAlignment="1" applyProtection="1">
      <alignment horizontal="center" vertical="center" wrapText="1"/>
    </xf>
    <xf numFmtId="165" fontId="25" fillId="15" borderId="33" xfId="10" applyNumberFormat="1" applyFont="1" applyFill="1" applyBorder="1" applyAlignment="1" applyProtection="1">
      <alignment horizontal="center" vertical="center" wrapText="1"/>
    </xf>
    <xf numFmtId="49" fontId="22" fillId="11" borderId="44" xfId="11" applyNumberFormat="1" applyFont="1" applyFill="1" applyBorder="1" applyAlignment="1" applyProtection="1">
      <alignment horizontal="center" vertical="center"/>
    </xf>
    <xf numFmtId="49" fontId="22" fillId="11" borderId="0" xfId="11" applyNumberFormat="1" applyFont="1" applyFill="1" applyBorder="1" applyAlignment="1" applyProtection="1">
      <alignment horizontal="center" vertical="center"/>
    </xf>
    <xf numFmtId="3" fontId="22" fillId="11" borderId="44" xfId="11" applyNumberFormat="1" applyFont="1" applyFill="1" applyBorder="1" applyAlignment="1" applyProtection="1">
      <alignment horizontal="center" vertical="center"/>
    </xf>
    <xf numFmtId="3" fontId="22" fillId="11" borderId="0" xfId="11" applyNumberFormat="1" applyFont="1" applyFill="1" applyBorder="1" applyAlignment="1" applyProtection="1">
      <alignment horizontal="center" vertical="center"/>
    </xf>
    <xf numFmtId="3" fontId="108" fillId="11" borderId="44" xfId="11" applyNumberFormat="1" applyFont="1" applyFill="1" applyBorder="1" applyAlignment="1" applyProtection="1">
      <alignment horizontal="center" vertical="center"/>
    </xf>
    <xf numFmtId="3" fontId="108" fillId="11" borderId="0" xfId="11" applyNumberFormat="1" applyFont="1" applyFill="1" applyBorder="1" applyAlignment="1" applyProtection="1">
      <alignment horizontal="center" vertical="center"/>
    </xf>
    <xf numFmtId="3" fontId="18" fillId="11" borderId="1" xfId="0" quotePrefix="1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left" vertical="center" wrapText="1"/>
    </xf>
    <xf numFmtId="165" fontId="25" fillId="15" borderId="54" xfId="10" applyNumberFormat="1" applyFont="1" applyFill="1" applyBorder="1" applyAlignment="1" applyProtection="1">
      <alignment horizontal="center" vertical="center" wrapText="1"/>
    </xf>
    <xf numFmtId="165" fontId="25" fillId="15" borderId="49" xfId="10" applyNumberFormat="1" applyFont="1" applyFill="1" applyBorder="1" applyAlignment="1" applyProtection="1">
      <alignment horizontal="center" vertical="center" wrapText="1"/>
    </xf>
    <xf numFmtId="3" fontId="112" fillId="11" borderId="44" xfId="11" applyNumberFormat="1" applyFont="1" applyFill="1" applyBorder="1" applyAlignment="1" applyProtection="1">
      <alignment horizontal="center" vertical="center"/>
    </xf>
    <xf numFmtId="3" fontId="112" fillId="11" borderId="0" xfId="11" applyNumberFormat="1" applyFont="1" applyFill="1" applyBorder="1" applyAlignment="1" applyProtection="1">
      <alignment horizontal="center" vertical="center"/>
    </xf>
    <xf numFmtId="4" fontId="9" fillId="11" borderId="17" xfId="0" applyNumberFormat="1" applyFont="1" applyFill="1" applyBorder="1" applyAlignment="1">
      <alignment horizontal="center" vertical="center" wrapText="1"/>
    </xf>
    <xf numFmtId="4" fontId="9" fillId="11" borderId="6" xfId="0" applyNumberFormat="1" applyFont="1" applyFill="1" applyBorder="1" applyAlignment="1">
      <alignment horizontal="center" vertical="center" wrapText="1"/>
    </xf>
    <xf numFmtId="4" fontId="77" fillId="11" borderId="31" xfId="10" applyNumberFormat="1" applyFont="1" applyFill="1" applyBorder="1" applyAlignment="1" applyProtection="1">
      <alignment horizontal="center" vertical="center" wrapText="1"/>
    </xf>
    <xf numFmtId="4" fontId="77" fillId="11" borderId="33" xfId="10" applyNumberFormat="1" applyFont="1" applyFill="1" applyBorder="1" applyAlignment="1" applyProtection="1">
      <alignment horizontal="center" vertical="center" wrapText="1"/>
    </xf>
    <xf numFmtId="4" fontId="77" fillId="11" borderId="45" xfId="10" applyNumberFormat="1" applyFont="1" applyFill="1" applyBorder="1" applyAlignment="1" applyProtection="1">
      <alignment horizontal="center" vertical="center" wrapText="1"/>
    </xf>
    <xf numFmtId="4" fontId="77" fillId="11" borderId="46" xfId="10" applyNumberFormat="1" applyFont="1" applyFill="1" applyBorder="1" applyAlignment="1" applyProtection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" fontId="77" fillId="11" borderId="54" xfId="10" applyNumberFormat="1" applyFont="1" applyFill="1" applyBorder="1" applyAlignment="1" applyProtection="1">
      <alignment horizontal="center" vertical="center" wrapText="1"/>
    </xf>
    <xf numFmtId="4" fontId="77" fillId="11" borderId="49" xfId="10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11" borderId="1" xfId="0" quotePrefix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3" fontId="37" fillId="11" borderId="44" xfId="11" applyNumberFormat="1" applyFont="1" applyFill="1" applyBorder="1" applyAlignment="1" applyProtection="1">
      <alignment horizontal="center" vertical="center"/>
    </xf>
    <xf numFmtId="3" fontId="37" fillId="11" borderId="0" xfId="11" applyNumberFormat="1" applyFont="1" applyFill="1" applyBorder="1" applyAlignment="1" applyProtection="1">
      <alignment horizontal="center" vertical="center"/>
    </xf>
    <xf numFmtId="49" fontId="37" fillId="11" borderId="14" xfId="11" applyNumberFormat="1" applyFont="1" applyFill="1" applyBorder="1" applyAlignment="1" applyProtection="1">
      <alignment horizontal="center" vertical="center"/>
    </xf>
    <xf numFmtId="49" fontId="37" fillId="11" borderId="0" xfId="11" applyNumberFormat="1" applyFont="1" applyFill="1" applyBorder="1" applyAlignment="1" applyProtection="1">
      <alignment horizontal="center" vertical="center"/>
    </xf>
    <xf numFmtId="3" fontId="37" fillId="11" borderId="14" xfId="11" applyNumberFormat="1" applyFont="1" applyFill="1" applyBorder="1" applyAlignment="1" applyProtection="1">
      <alignment horizontal="center" vertical="center"/>
    </xf>
    <xf numFmtId="3" fontId="38" fillId="11" borderId="14" xfId="11" applyNumberFormat="1" applyFont="1" applyFill="1" applyBorder="1" applyAlignment="1" applyProtection="1">
      <alignment horizontal="center" vertical="center"/>
    </xf>
    <xf numFmtId="3" fontId="38" fillId="11" borderId="0" xfId="11" applyNumberFormat="1" applyFont="1" applyFill="1" applyBorder="1" applyAlignment="1" applyProtection="1">
      <alignment horizontal="center" vertical="center"/>
    </xf>
    <xf numFmtId="3" fontId="38" fillId="11" borderId="35" xfId="11" applyNumberFormat="1" applyFont="1" applyFill="1" applyBorder="1" applyAlignment="1" applyProtection="1">
      <alignment horizontal="center" vertical="center" wrapText="1"/>
    </xf>
    <xf numFmtId="3" fontId="38" fillId="11" borderId="28" xfId="11" applyNumberFormat="1" applyFont="1" applyFill="1" applyBorder="1" applyAlignment="1" applyProtection="1">
      <alignment horizontal="center" vertical="center" wrapText="1"/>
    </xf>
    <xf numFmtId="0" fontId="86" fillId="11" borderId="15" xfId="0" quotePrefix="1" applyFont="1" applyFill="1" applyBorder="1" applyAlignment="1">
      <alignment horizontal="center" vertical="center" wrapText="1"/>
    </xf>
    <xf numFmtId="0" fontId="86" fillId="11" borderId="50" xfId="0" quotePrefix="1" applyFont="1" applyFill="1" applyBorder="1" applyAlignment="1">
      <alignment horizontal="center" vertical="center" wrapText="1"/>
    </xf>
    <xf numFmtId="3" fontId="9" fillId="11" borderId="16" xfId="0" quotePrefix="1" applyNumberFormat="1" applyFont="1" applyFill="1" applyBorder="1" applyAlignment="1">
      <alignment horizontal="center" vertical="center" wrapText="1"/>
    </xf>
    <xf numFmtId="3" fontId="9" fillId="11" borderId="22" xfId="0" quotePrefix="1" applyNumberFormat="1" applyFont="1" applyFill="1" applyBorder="1" applyAlignment="1">
      <alignment horizontal="center" vertical="center" wrapText="1"/>
    </xf>
    <xf numFmtId="3" fontId="9" fillId="11" borderId="12" xfId="0" quotePrefix="1" applyNumberFormat="1" applyFont="1" applyFill="1" applyBorder="1" applyAlignment="1">
      <alignment horizontal="center" vertical="center" wrapText="1"/>
    </xf>
    <xf numFmtId="3" fontId="18" fillId="11" borderId="16" xfId="0" quotePrefix="1" applyNumberFormat="1" applyFont="1" applyFill="1" applyBorder="1" applyAlignment="1">
      <alignment horizontal="center" vertical="center"/>
    </xf>
    <xf numFmtId="3" fontId="18" fillId="11" borderId="22" xfId="0" quotePrefix="1" applyNumberFormat="1" applyFont="1" applyFill="1" applyBorder="1" applyAlignment="1">
      <alignment horizontal="center" vertical="center"/>
    </xf>
    <xf numFmtId="3" fontId="18" fillId="11" borderId="12" xfId="0" quotePrefix="1" applyNumberFormat="1" applyFont="1" applyFill="1" applyBorder="1" applyAlignment="1">
      <alignment horizontal="center" vertical="center"/>
    </xf>
    <xf numFmtId="3" fontId="9" fillId="11" borderId="16" xfId="0" quotePrefix="1" applyNumberFormat="1" applyFont="1" applyFill="1" applyBorder="1" applyAlignment="1">
      <alignment horizontal="center" vertical="center"/>
    </xf>
    <xf numFmtId="3" fontId="9" fillId="11" borderId="22" xfId="0" quotePrefix="1" applyNumberFormat="1" applyFont="1" applyFill="1" applyBorder="1" applyAlignment="1">
      <alignment horizontal="center" vertical="center"/>
    </xf>
    <xf numFmtId="3" fontId="9" fillId="11" borderId="12" xfId="0" quotePrefix="1" applyNumberFormat="1" applyFont="1" applyFill="1" applyBorder="1" applyAlignment="1">
      <alignment horizontal="center" vertical="center"/>
    </xf>
    <xf numFmtId="165" fontId="25" fillId="11" borderId="45" xfId="10" applyNumberFormat="1" applyFont="1" applyFill="1" applyBorder="1" applyAlignment="1" applyProtection="1">
      <alignment horizontal="center" vertical="center" wrapText="1"/>
    </xf>
    <xf numFmtId="165" fontId="25" fillId="11" borderId="53" xfId="10" applyNumberFormat="1" applyFont="1" applyFill="1" applyBorder="1" applyAlignment="1" applyProtection="1">
      <alignment horizontal="center" vertical="center" wrapText="1"/>
    </xf>
    <xf numFmtId="165" fontId="25" fillId="11" borderId="31" xfId="10" applyNumberFormat="1" applyFont="1" applyFill="1" applyBorder="1" applyAlignment="1" applyProtection="1">
      <alignment horizontal="center" vertical="center" wrapText="1"/>
    </xf>
    <xf numFmtId="165" fontId="25" fillId="11" borderId="33" xfId="10" applyNumberFormat="1" applyFont="1" applyFill="1" applyBorder="1" applyAlignment="1" applyProtection="1">
      <alignment horizontal="center" vertical="center" wrapText="1"/>
    </xf>
    <xf numFmtId="0" fontId="9" fillId="11" borderId="15" xfId="0" quotePrefix="1" applyFont="1" applyFill="1" applyBorder="1" applyAlignment="1">
      <alignment horizontal="center" wrapText="1"/>
    </xf>
    <xf numFmtId="0" fontId="9" fillId="11" borderId="50" xfId="0" quotePrefix="1" applyFont="1" applyFill="1" applyBorder="1" applyAlignment="1">
      <alignment horizontal="center" wrapText="1"/>
    </xf>
    <xf numFmtId="0" fontId="18" fillId="11" borderId="22" xfId="0" quotePrefix="1" applyFont="1" applyFill="1" applyBorder="1" applyAlignment="1">
      <alignment horizontal="center" wrapText="1"/>
    </xf>
    <xf numFmtId="0" fontId="24" fillId="11" borderId="15" xfId="0" applyFont="1" applyFill="1" applyBorder="1" applyAlignment="1">
      <alignment horizontal="center" vertical="center"/>
    </xf>
    <xf numFmtId="0" fontId="24" fillId="11" borderId="50" xfId="0" applyFont="1" applyFill="1" applyBorder="1" applyAlignment="1">
      <alignment horizontal="center" vertical="center"/>
    </xf>
    <xf numFmtId="165" fontId="25" fillId="11" borderId="54" xfId="10" applyNumberFormat="1" applyFont="1" applyFill="1" applyBorder="1" applyAlignment="1" applyProtection="1">
      <alignment horizontal="center" vertical="center" wrapText="1"/>
    </xf>
    <xf numFmtId="165" fontId="25" fillId="11" borderId="49" xfId="10" applyNumberFormat="1" applyFont="1" applyFill="1" applyBorder="1" applyAlignment="1" applyProtection="1">
      <alignment horizontal="center" vertical="center" wrapText="1"/>
    </xf>
    <xf numFmtId="165" fontId="25" fillId="20" borderId="45" xfId="10" applyNumberFormat="1" applyFont="1" applyFill="1" applyBorder="1" applyAlignment="1" applyProtection="1">
      <alignment horizontal="center" vertical="center" wrapText="1"/>
    </xf>
    <xf numFmtId="165" fontId="25" fillId="20" borderId="53" xfId="10" applyNumberFormat="1" applyFont="1" applyFill="1" applyBorder="1" applyAlignment="1" applyProtection="1">
      <alignment horizontal="center" vertical="center" wrapText="1"/>
    </xf>
    <xf numFmtId="3" fontId="108" fillId="11" borderId="48" xfId="11" applyNumberFormat="1" applyFont="1" applyFill="1" applyBorder="1" applyAlignment="1" applyProtection="1">
      <alignment horizontal="center" wrapText="1"/>
    </xf>
    <xf numFmtId="3" fontId="108" fillId="11" borderId="28" xfId="11" applyNumberFormat="1" applyFont="1" applyFill="1" applyBorder="1" applyAlignment="1" applyProtection="1">
      <alignment horizontal="center" wrapText="1"/>
    </xf>
    <xf numFmtId="165" fontId="25" fillId="20" borderId="31" xfId="10" applyNumberFormat="1" applyFont="1" applyFill="1" applyBorder="1" applyAlignment="1" applyProtection="1">
      <alignment horizontal="center" vertical="center" wrapText="1"/>
    </xf>
    <xf numFmtId="165" fontId="25" fillId="20" borderId="33" xfId="10" applyNumberFormat="1" applyFont="1" applyFill="1" applyBorder="1" applyAlignment="1" applyProtection="1">
      <alignment horizontal="center" vertical="center" wrapText="1"/>
    </xf>
    <xf numFmtId="49" fontId="22" fillId="11" borderId="44" xfId="11" applyNumberFormat="1" applyFont="1" applyFill="1" applyBorder="1" applyAlignment="1" applyProtection="1">
      <alignment horizontal="center"/>
    </xf>
    <xf numFmtId="49" fontId="22" fillId="11" borderId="0" xfId="11" applyNumberFormat="1" applyFont="1" applyFill="1" applyBorder="1" applyAlignment="1" applyProtection="1">
      <alignment horizontal="center"/>
    </xf>
    <xf numFmtId="3" fontId="22" fillId="11" borderId="44" xfId="11" applyNumberFormat="1" applyFont="1" applyFill="1" applyBorder="1" applyAlignment="1" applyProtection="1">
      <alignment horizontal="center"/>
    </xf>
    <xf numFmtId="3" fontId="22" fillId="11" borderId="0" xfId="11" applyNumberFormat="1" applyFont="1" applyFill="1" applyBorder="1" applyAlignment="1" applyProtection="1">
      <alignment horizontal="center"/>
    </xf>
    <xf numFmtId="3" fontId="108" fillId="11" borderId="44" xfId="11" applyNumberFormat="1" applyFont="1" applyFill="1" applyBorder="1" applyAlignment="1" applyProtection="1">
      <alignment horizontal="center"/>
    </xf>
    <xf numFmtId="3" fontId="108" fillId="11" borderId="0" xfId="11" applyNumberFormat="1" applyFont="1" applyFill="1" applyBorder="1" applyAlignment="1" applyProtection="1">
      <alignment horizontal="center"/>
    </xf>
    <xf numFmtId="0" fontId="9" fillId="0" borderId="15" xfId="0" quotePrefix="1" applyFont="1" applyFill="1" applyBorder="1" applyAlignment="1">
      <alignment horizontal="center" vertical="center" wrapText="1"/>
    </xf>
    <xf numFmtId="0" fontId="9" fillId="0" borderId="50" xfId="0" quotePrefix="1" applyFont="1" applyFill="1" applyBorder="1" applyAlignment="1">
      <alignment horizontal="center" vertical="center" wrapText="1"/>
    </xf>
    <xf numFmtId="0" fontId="115" fillId="11" borderId="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65" fontId="25" fillId="20" borderId="54" xfId="10" applyNumberFormat="1" applyFont="1" applyFill="1" applyBorder="1" applyAlignment="1" applyProtection="1">
      <alignment horizontal="center" vertical="center" wrapText="1"/>
    </xf>
    <xf numFmtId="165" fontId="25" fillId="20" borderId="49" xfId="10" applyNumberFormat="1" applyFont="1" applyFill="1" applyBorder="1" applyAlignment="1" applyProtection="1">
      <alignment horizontal="center" vertical="center" wrapText="1"/>
    </xf>
    <xf numFmtId="3" fontId="112" fillId="11" borderId="44" xfId="11" applyNumberFormat="1" applyFont="1" applyFill="1" applyBorder="1" applyAlignment="1" applyProtection="1">
      <alignment horizontal="center"/>
    </xf>
    <xf numFmtId="3" fontId="112" fillId="11" borderId="0" xfId="11" applyNumberFormat="1" applyFont="1" applyFill="1" applyBorder="1" applyAlignment="1" applyProtection="1">
      <alignment horizontal="center"/>
    </xf>
    <xf numFmtId="0" fontId="9" fillId="11" borderId="1" xfId="0" applyFont="1" applyFill="1" applyBorder="1" applyAlignment="1">
      <alignment horizontal="left" vertical="center" wrapText="1"/>
    </xf>
    <xf numFmtId="165" fontId="77" fillId="20" borderId="31" xfId="10" applyNumberFormat="1" applyFont="1" applyFill="1" applyBorder="1" applyAlignment="1" applyProtection="1">
      <alignment horizontal="right" vertical="center" wrapText="1"/>
    </xf>
    <xf numFmtId="165" fontId="77" fillId="20" borderId="33" xfId="10" applyNumberFormat="1" applyFont="1" applyFill="1" applyBorder="1" applyAlignment="1" applyProtection="1">
      <alignment horizontal="right" vertical="center" wrapText="1"/>
    </xf>
    <xf numFmtId="3" fontId="78" fillId="11" borderId="44" xfId="11" applyNumberFormat="1" applyFont="1" applyFill="1" applyBorder="1" applyAlignment="1" applyProtection="1">
      <alignment horizontal="center" vertical="center"/>
    </xf>
    <xf numFmtId="3" fontId="78" fillId="11" borderId="0" xfId="11" applyNumberFormat="1" applyFont="1" applyFill="1" applyBorder="1" applyAlignment="1" applyProtection="1">
      <alignment horizontal="center" vertical="center"/>
    </xf>
    <xf numFmtId="165" fontId="77" fillId="20" borderId="45" xfId="10" applyNumberFormat="1" applyFont="1" applyFill="1" applyBorder="1" applyAlignment="1" applyProtection="1">
      <alignment horizontal="right" vertical="center" wrapText="1"/>
    </xf>
    <xf numFmtId="165" fontId="77" fillId="20" borderId="53" xfId="10" applyNumberFormat="1" applyFont="1" applyFill="1" applyBorder="1" applyAlignment="1" applyProtection="1">
      <alignment horizontal="right" vertical="center" wrapText="1"/>
    </xf>
    <xf numFmtId="3" fontId="78" fillId="11" borderId="44" xfId="11" applyNumberFormat="1" applyFont="1" applyFill="1" applyBorder="1" applyAlignment="1" applyProtection="1">
      <alignment horizontal="center" vertical="center" wrapText="1"/>
    </xf>
    <xf numFmtId="3" fontId="78" fillId="11" borderId="0" xfId="11" applyNumberFormat="1" applyFont="1" applyFill="1" applyBorder="1" applyAlignment="1" applyProtection="1">
      <alignment horizontal="center" vertical="center" wrapText="1"/>
    </xf>
    <xf numFmtId="3" fontId="1" fillId="11" borderId="16" xfId="0" applyNumberFormat="1" applyFont="1" applyFill="1" applyBorder="1" applyAlignment="1">
      <alignment horizontal="center" vertical="center"/>
    </xf>
    <xf numFmtId="3" fontId="1" fillId="11" borderId="22" xfId="0" applyNumberFormat="1" applyFont="1" applyFill="1" applyBorder="1" applyAlignment="1">
      <alignment horizontal="center" vertical="center"/>
    </xf>
    <xf numFmtId="3" fontId="1" fillId="11" borderId="12" xfId="0" applyNumberFormat="1" applyFont="1" applyFill="1" applyBorder="1" applyAlignment="1">
      <alignment horizontal="center" vertical="center"/>
    </xf>
    <xf numFmtId="0" fontId="95" fillId="11" borderId="22" xfId="0" applyFont="1" applyFill="1" applyBorder="1" applyAlignment="1">
      <alignment horizontal="center" vertical="center" wrapText="1"/>
    </xf>
    <xf numFmtId="165" fontId="77" fillId="20" borderId="54" xfId="10" applyNumberFormat="1" applyFont="1" applyFill="1" applyBorder="1" applyAlignment="1" applyProtection="1">
      <alignment horizontal="right" vertical="center" wrapText="1"/>
    </xf>
    <xf numFmtId="165" fontId="77" fillId="20" borderId="49" xfId="10" applyNumberFormat="1" applyFont="1" applyFill="1" applyBorder="1" applyAlignment="1" applyProtection="1">
      <alignment horizontal="right" vertical="center" wrapText="1"/>
    </xf>
    <xf numFmtId="0" fontId="64" fillId="11" borderId="50" xfId="0" quotePrefix="1" applyFont="1" applyFill="1" applyBorder="1" applyAlignment="1">
      <alignment horizontal="center" vertical="center" wrapText="1"/>
    </xf>
    <xf numFmtId="3" fontId="9" fillId="11" borderId="1" xfId="0" quotePrefix="1" applyNumberFormat="1" applyFont="1" applyFill="1" applyBorder="1" applyAlignment="1">
      <alignment horizontal="center" vertical="center" wrapText="1"/>
    </xf>
    <xf numFmtId="3" fontId="111" fillId="11" borderId="22" xfId="0" applyNumberFormat="1" applyFont="1" applyFill="1" applyBorder="1" applyAlignment="1">
      <alignment horizontal="center" vertical="center"/>
    </xf>
    <xf numFmtId="0" fontId="9" fillId="11" borderId="16" xfId="0" quotePrefix="1" applyFont="1" applyFill="1" applyBorder="1" applyAlignment="1">
      <alignment horizontal="center" vertical="center" wrapText="1"/>
    </xf>
    <xf numFmtId="0" fontId="9" fillId="11" borderId="22" xfId="0" quotePrefix="1" applyFont="1" applyFill="1" applyBorder="1" applyAlignment="1">
      <alignment horizontal="center" vertical="center" wrapText="1"/>
    </xf>
    <xf numFmtId="165" fontId="77" fillId="11" borderId="45" xfId="10" applyNumberFormat="1" applyFont="1" applyFill="1" applyBorder="1" applyAlignment="1" applyProtection="1">
      <alignment horizontal="center" vertical="center" wrapText="1"/>
    </xf>
    <xf numFmtId="165" fontId="77" fillId="11" borderId="53" xfId="10" applyNumberFormat="1" applyFont="1" applyFill="1" applyBorder="1" applyAlignment="1" applyProtection="1">
      <alignment horizontal="center" vertical="center" wrapText="1"/>
    </xf>
    <xf numFmtId="165" fontId="77" fillId="11" borderId="31" xfId="10" applyNumberFormat="1" applyFont="1" applyFill="1" applyBorder="1" applyAlignment="1" applyProtection="1">
      <alignment horizontal="center" vertical="center" wrapText="1"/>
    </xf>
    <xf numFmtId="165" fontId="77" fillId="11" borderId="33" xfId="10" applyNumberFormat="1" applyFont="1" applyFill="1" applyBorder="1" applyAlignment="1" applyProtection="1">
      <alignment horizontal="center" vertical="center" wrapText="1"/>
    </xf>
    <xf numFmtId="3" fontId="9" fillId="11" borderId="16" xfId="34" quotePrefix="1" applyNumberFormat="1" applyFont="1" applyFill="1" applyBorder="1" applyAlignment="1">
      <alignment horizontal="center" vertical="center" wrapText="1"/>
    </xf>
    <xf numFmtId="3" fontId="9" fillId="11" borderId="22" xfId="34" quotePrefix="1" applyNumberFormat="1" applyFont="1" applyFill="1" applyBorder="1" applyAlignment="1">
      <alignment horizontal="center" vertical="center" wrapText="1"/>
    </xf>
    <xf numFmtId="3" fontId="9" fillId="11" borderId="15" xfId="34" quotePrefix="1" applyNumberFormat="1" applyFont="1" applyFill="1" applyBorder="1" applyAlignment="1">
      <alignment horizontal="center" vertical="center" wrapText="1"/>
    </xf>
    <xf numFmtId="3" fontId="9" fillId="11" borderId="50" xfId="34" quotePrefix="1" applyNumberFormat="1" applyFont="1" applyFill="1" applyBorder="1" applyAlignment="1">
      <alignment horizontal="center" vertical="center" wrapText="1"/>
    </xf>
    <xf numFmtId="3" fontId="2" fillId="11" borderId="1" xfId="34" quotePrefix="1" applyNumberFormat="1" applyFont="1" applyFill="1" applyBorder="1" applyAlignment="1">
      <alignment horizontal="center" vertical="center"/>
    </xf>
    <xf numFmtId="0" fontId="0" fillId="11" borderId="50" xfId="0" applyFill="1" applyBorder="1" applyAlignment="1">
      <alignment horizontal="left"/>
    </xf>
    <xf numFmtId="165" fontId="77" fillId="11" borderId="54" xfId="10" applyNumberFormat="1" applyFont="1" applyFill="1" applyBorder="1" applyAlignment="1" applyProtection="1">
      <alignment horizontal="center" vertical="center" wrapText="1"/>
    </xf>
    <xf numFmtId="165" fontId="77" fillId="11" borderId="49" xfId="10" applyNumberFormat="1" applyFont="1" applyFill="1" applyBorder="1" applyAlignment="1" applyProtection="1">
      <alignment horizontal="center" vertical="center" wrapText="1"/>
    </xf>
    <xf numFmtId="0" fontId="9" fillId="11" borderId="17" xfId="34" applyFont="1" applyFill="1" applyBorder="1" applyAlignment="1">
      <alignment horizontal="center" vertical="center" wrapText="1"/>
    </xf>
    <xf numFmtId="0" fontId="9" fillId="11" borderId="6" xfId="34" applyFont="1" applyFill="1" applyBorder="1" applyAlignment="1">
      <alignment horizontal="center" vertical="center" wrapText="1"/>
    </xf>
    <xf numFmtId="0" fontId="9" fillId="0" borderId="17" xfId="34" applyFont="1" applyBorder="1" applyAlignment="1">
      <alignment horizontal="center" vertical="center" wrapText="1"/>
    </xf>
    <xf numFmtId="0" fontId="9" fillId="0" borderId="6" xfId="34" applyFont="1" applyBorder="1" applyAlignment="1">
      <alignment horizontal="center" vertical="center" wrapText="1"/>
    </xf>
    <xf numFmtId="165" fontId="77" fillId="6" borderId="31" xfId="10" applyNumberFormat="1" applyFont="1" applyFill="1" applyBorder="1" applyAlignment="1" applyProtection="1">
      <alignment horizontal="center" vertical="center" wrapText="1"/>
    </xf>
    <xf numFmtId="165" fontId="77" fillId="6" borderId="33" xfId="10" applyNumberFormat="1" applyFont="1" applyFill="1" applyBorder="1" applyAlignment="1" applyProtection="1">
      <alignment horizontal="center" vertical="center" wrapText="1"/>
    </xf>
    <xf numFmtId="165" fontId="77" fillId="6" borderId="45" xfId="10" applyNumberFormat="1" applyFont="1" applyFill="1" applyBorder="1" applyAlignment="1" applyProtection="1">
      <alignment horizontal="center" vertical="center" wrapText="1"/>
    </xf>
    <xf numFmtId="165" fontId="77" fillId="6" borderId="53" xfId="10" applyNumberFormat="1" applyFont="1" applyFill="1" applyBorder="1" applyAlignment="1" applyProtection="1">
      <alignment horizontal="center" vertical="center" wrapText="1"/>
    </xf>
    <xf numFmtId="3" fontId="108" fillId="11" borderId="44" xfId="11" applyNumberFormat="1" applyFont="1" applyFill="1" applyBorder="1" applyAlignment="1" applyProtection="1">
      <alignment horizontal="center" vertical="center" wrapText="1"/>
    </xf>
    <xf numFmtId="3" fontId="108" fillId="11" borderId="0" xfId="11" applyNumberFormat="1" applyFont="1" applyFill="1" applyBorder="1" applyAlignment="1" applyProtection="1">
      <alignment horizontal="center" vertical="center" wrapText="1"/>
    </xf>
    <xf numFmtId="3" fontId="57" fillId="11" borderId="15" xfId="32" applyNumberFormat="1" applyFont="1" applyFill="1" applyBorder="1" applyAlignment="1">
      <alignment horizontal="center"/>
    </xf>
    <xf numFmtId="3" fontId="57" fillId="11" borderId="50" xfId="32" applyNumberFormat="1" applyFont="1" applyFill="1" applyBorder="1" applyAlignment="1">
      <alignment horizontal="center"/>
    </xf>
    <xf numFmtId="10" fontId="57" fillId="11" borderId="50" xfId="32" applyNumberFormat="1" applyFont="1" applyFill="1" applyBorder="1" applyAlignment="1">
      <alignment horizontal="center"/>
    </xf>
    <xf numFmtId="3" fontId="78" fillId="11" borderId="48" xfId="11" applyNumberFormat="1" applyFont="1" applyFill="1" applyBorder="1" applyAlignment="1" applyProtection="1">
      <alignment horizontal="center" vertical="center" wrapText="1"/>
    </xf>
    <xf numFmtId="3" fontId="78" fillId="11" borderId="28" xfId="11" applyNumberFormat="1" applyFont="1" applyFill="1" applyBorder="1" applyAlignment="1" applyProtection="1">
      <alignment horizontal="center" vertical="center" wrapText="1"/>
    </xf>
    <xf numFmtId="10" fontId="78" fillId="11" borderId="28" xfId="11" applyNumberFormat="1" applyFont="1" applyFill="1" applyBorder="1" applyAlignment="1" applyProtection="1">
      <alignment horizontal="center" vertical="center" wrapText="1"/>
    </xf>
    <xf numFmtId="0" fontId="9" fillId="11" borderId="17" xfId="32" applyFont="1" applyFill="1" applyBorder="1" applyAlignment="1">
      <alignment horizontal="center" vertical="center" wrapText="1"/>
    </xf>
    <xf numFmtId="0" fontId="9" fillId="11" borderId="6" xfId="32" applyFont="1" applyFill="1" applyBorder="1" applyAlignment="1">
      <alignment horizontal="center" vertical="center" wrapText="1"/>
    </xf>
    <xf numFmtId="10" fontId="24" fillId="11" borderId="1" xfId="17" applyNumberFormat="1" applyFont="1" applyFill="1" applyBorder="1" applyAlignment="1">
      <alignment horizontal="center" vertical="center" wrapText="1"/>
    </xf>
    <xf numFmtId="3" fontId="9" fillId="11" borderId="16" xfId="30" quotePrefix="1" applyNumberFormat="1" applyFont="1" applyFill="1" applyBorder="1" applyAlignment="1">
      <alignment horizontal="center" vertical="center" wrapText="1"/>
    </xf>
    <xf numFmtId="3" fontId="9" fillId="11" borderId="22" xfId="30" quotePrefix="1" applyNumberFormat="1" applyFont="1" applyFill="1" applyBorder="1" applyAlignment="1">
      <alignment horizontal="center" vertical="center" wrapText="1"/>
    </xf>
    <xf numFmtId="3" fontId="9" fillId="11" borderId="12" xfId="30" quotePrefix="1" applyNumberFormat="1" applyFont="1" applyFill="1" applyBorder="1" applyAlignment="1">
      <alignment horizontal="center" vertical="center" wrapText="1"/>
    </xf>
    <xf numFmtId="10" fontId="22" fillId="11" borderId="0" xfId="11" applyNumberFormat="1" applyFont="1" applyFill="1" applyBorder="1" applyAlignment="1" applyProtection="1">
      <alignment horizontal="center" vertical="center"/>
    </xf>
    <xf numFmtId="10" fontId="78" fillId="11" borderId="0" xfId="11" applyNumberFormat="1" applyFont="1" applyFill="1" applyBorder="1" applyAlignment="1" applyProtection="1">
      <alignment horizontal="center" vertical="center"/>
    </xf>
    <xf numFmtId="0" fontId="9" fillId="0" borderId="17" xfId="30" applyFont="1" applyBorder="1" applyAlignment="1">
      <alignment horizontal="center" vertical="center" wrapText="1"/>
    </xf>
    <xf numFmtId="0" fontId="9" fillId="0" borderId="6" xfId="30" applyFont="1" applyBorder="1" applyAlignment="1">
      <alignment horizontal="center" vertical="center" wrapText="1"/>
    </xf>
    <xf numFmtId="0" fontId="81" fillId="0" borderId="1" xfId="29" applyFont="1" applyFill="1" applyBorder="1" applyAlignment="1">
      <alignment horizontal="center" vertical="center" wrapText="1"/>
    </xf>
    <xf numFmtId="3" fontId="0" fillId="11" borderId="16" xfId="0" applyNumberFormat="1" applyFill="1" applyBorder="1" applyAlignment="1">
      <alignment horizontal="center"/>
    </xf>
    <xf numFmtId="3" fontId="0" fillId="11" borderId="22" xfId="0" applyNumberFormat="1" applyFill="1" applyBorder="1" applyAlignment="1">
      <alignment horizontal="center"/>
    </xf>
    <xf numFmtId="3" fontId="0" fillId="11" borderId="12" xfId="0" applyNumberFormat="1" applyFill="1" applyBorder="1" applyAlignment="1">
      <alignment horizontal="center"/>
    </xf>
    <xf numFmtId="3" fontId="18" fillId="11" borderId="16" xfId="28" quotePrefix="1" applyNumberFormat="1" applyFont="1" applyFill="1" applyBorder="1" applyAlignment="1">
      <alignment horizontal="center" wrapText="1"/>
    </xf>
    <xf numFmtId="3" fontId="18" fillId="11" borderId="22" xfId="28" quotePrefix="1" applyNumberFormat="1" applyFont="1" applyFill="1" applyBorder="1" applyAlignment="1">
      <alignment horizontal="center" wrapText="1"/>
    </xf>
    <xf numFmtId="3" fontId="18" fillId="11" borderId="12" xfId="28" quotePrefix="1" applyNumberFormat="1" applyFont="1" applyFill="1" applyBorder="1" applyAlignment="1">
      <alignment horizontal="center" wrapText="1"/>
    </xf>
    <xf numFmtId="165" fontId="77" fillId="6" borderId="54" xfId="10" applyNumberFormat="1" applyFont="1" applyFill="1" applyBorder="1" applyAlignment="1" applyProtection="1">
      <alignment horizontal="center" vertical="center" wrapText="1"/>
    </xf>
    <xf numFmtId="165" fontId="77" fillId="6" borderId="49" xfId="10" applyNumberFormat="1" applyFont="1" applyFill="1" applyBorder="1" applyAlignment="1" applyProtection="1">
      <alignment horizontal="center" vertical="center" wrapText="1"/>
    </xf>
    <xf numFmtId="3" fontId="81" fillId="11" borderId="1" xfId="28" quotePrefix="1" applyNumberFormat="1" applyFont="1" applyFill="1" applyBorder="1" applyAlignment="1">
      <alignment horizontal="center" wrapText="1"/>
    </xf>
    <xf numFmtId="0" fontId="0" fillId="11" borderId="50" xfId="0" applyFill="1" applyBorder="1" applyAlignment="1">
      <alignment horizontal="center" wrapText="1"/>
    </xf>
    <xf numFmtId="0" fontId="18" fillId="0" borderId="16" xfId="29" applyFont="1" applyFill="1" applyBorder="1" applyAlignment="1">
      <alignment horizontal="center" vertical="center"/>
    </xf>
    <xf numFmtId="0" fontId="18" fillId="0" borderId="22" xfId="29" applyFont="1" applyFill="1" applyBorder="1" applyAlignment="1">
      <alignment horizontal="center" vertical="center"/>
    </xf>
    <xf numFmtId="0" fontId="18" fillId="0" borderId="12" xfId="29" applyFont="1" applyFill="1" applyBorder="1" applyAlignment="1">
      <alignment horizontal="center" vertical="center"/>
    </xf>
    <xf numFmtId="0" fontId="86" fillId="0" borderId="1" xfId="29" applyFont="1" applyFill="1" applyBorder="1" applyAlignment="1">
      <alignment horizontal="center" vertical="center" wrapText="1"/>
    </xf>
    <xf numFmtId="0" fontId="24" fillId="0" borderId="15" xfId="28" applyFont="1" applyFill="1" applyBorder="1" applyAlignment="1">
      <alignment horizontal="center" vertical="center" wrapText="1"/>
    </xf>
    <xf numFmtId="0" fontId="24" fillId="0" borderId="50" xfId="28" applyFont="1" applyFill="1" applyBorder="1" applyAlignment="1">
      <alignment horizontal="center" vertical="center" wrapText="1"/>
    </xf>
    <xf numFmtId="0" fontId="81" fillId="0" borderId="0" xfId="29" applyFont="1" applyFill="1" applyBorder="1" applyAlignment="1">
      <alignment horizontal="center" vertical="center" wrapText="1"/>
    </xf>
    <xf numFmtId="3" fontId="0" fillId="11" borderId="14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0" fontId="18" fillId="11" borderId="15" xfId="29" applyFont="1" applyFill="1" applyBorder="1" applyAlignment="1">
      <alignment horizontal="center" vertical="center" wrapText="1"/>
    </xf>
    <xf numFmtId="0" fontId="18" fillId="11" borderId="50" xfId="29" applyFont="1" applyFill="1" applyBorder="1" applyAlignment="1">
      <alignment horizontal="center" vertical="center" wrapText="1"/>
    </xf>
    <xf numFmtId="3" fontId="81" fillId="11" borderId="14" xfId="28" quotePrefix="1" applyNumberFormat="1" applyFont="1" applyFill="1" applyBorder="1" applyAlignment="1">
      <alignment horizontal="center" wrapText="1"/>
    </xf>
    <xf numFmtId="3" fontId="81" fillId="11" borderId="0" xfId="28" quotePrefix="1" applyNumberFormat="1" applyFont="1" applyFill="1" applyBorder="1" applyAlignment="1">
      <alignment horizontal="center" wrapText="1"/>
    </xf>
    <xf numFmtId="3" fontId="9" fillId="11" borderId="15" xfId="28" quotePrefix="1" applyNumberFormat="1" applyFont="1" applyFill="1" applyBorder="1" applyAlignment="1">
      <alignment horizontal="center" wrapText="1"/>
    </xf>
    <xf numFmtId="3" fontId="9" fillId="11" borderId="50" xfId="28" quotePrefix="1" applyNumberFormat="1" applyFont="1" applyFill="1" applyBorder="1" applyAlignment="1">
      <alignment horizontal="center" wrapText="1"/>
    </xf>
    <xf numFmtId="0" fontId="0" fillId="11" borderId="16" xfId="0" applyFill="1" applyBorder="1" applyAlignment="1">
      <alignment horizontal="center" wrapText="1"/>
    </xf>
    <xf numFmtId="0" fontId="0" fillId="11" borderId="22" xfId="0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4" fontId="0" fillId="11" borderId="15" xfId="0" applyNumberFormat="1" applyFill="1" applyBorder="1" applyAlignment="1">
      <alignment horizontal="center"/>
    </xf>
    <xf numFmtId="4" fontId="0" fillId="11" borderId="50" xfId="0" applyNumberFormat="1" applyFill="1" applyBorder="1" applyAlignment="1">
      <alignment horizontal="center"/>
    </xf>
    <xf numFmtId="3" fontId="81" fillId="11" borderId="15" xfId="28" quotePrefix="1" applyNumberFormat="1" applyFont="1" applyFill="1" applyBorder="1" applyAlignment="1">
      <alignment horizontal="center" wrapText="1"/>
    </xf>
    <xf numFmtId="3" fontId="81" fillId="11" borderId="50" xfId="28" quotePrefix="1" applyNumberFormat="1" applyFont="1" applyFill="1" applyBorder="1" applyAlignment="1">
      <alignment horizontal="center" wrapText="1"/>
    </xf>
    <xf numFmtId="165" fontId="36" fillId="6" borderId="55" xfId="10" applyNumberFormat="1" applyFont="1" applyFill="1" applyBorder="1" applyAlignment="1" applyProtection="1">
      <alignment horizontal="right" vertical="center" wrapText="1"/>
    </xf>
    <xf numFmtId="165" fontId="36" fillId="6" borderId="56" xfId="10" applyNumberFormat="1" applyFont="1" applyFill="1" applyBorder="1" applyAlignment="1" applyProtection="1">
      <alignment horizontal="right" vertical="center" wrapText="1"/>
    </xf>
    <xf numFmtId="3" fontId="38" fillId="11" borderId="48" xfId="11" applyNumberFormat="1" applyFont="1" applyFill="1" applyBorder="1" applyAlignment="1" applyProtection="1">
      <alignment horizontal="center" wrapText="1"/>
    </xf>
    <xf numFmtId="3" fontId="38" fillId="11" borderId="28" xfId="11" applyNumberFormat="1" applyFont="1" applyFill="1" applyBorder="1" applyAlignment="1" applyProtection="1">
      <alignment horizontal="center" wrapText="1"/>
    </xf>
    <xf numFmtId="0" fontId="9" fillId="11" borderId="1" xfId="28" applyFont="1" applyFill="1" applyBorder="1" applyAlignment="1">
      <alignment horizontal="center" vertical="center" wrapText="1"/>
    </xf>
    <xf numFmtId="0" fontId="9" fillId="0" borderId="1" xfId="28" applyFont="1" applyBorder="1" applyAlignment="1">
      <alignment horizontal="center" vertical="center" wrapText="1"/>
    </xf>
    <xf numFmtId="165" fontId="36" fillId="6" borderId="33" xfId="10" applyNumberFormat="1" applyFont="1" applyFill="1" applyBorder="1" applyAlignment="1" applyProtection="1">
      <alignment horizontal="right" vertical="center" wrapText="1"/>
    </xf>
    <xf numFmtId="49" fontId="37" fillId="11" borderId="44" xfId="11" applyNumberFormat="1" applyFont="1" applyFill="1" applyBorder="1" applyAlignment="1" applyProtection="1">
      <alignment horizontal="center"/>
    </xf>
    <xf numFmtId="49" fontId="37" fillId="11" borderId="0" xfId="11" applyNumberFormat="1" applyFont="1" applyFill="1" applyBorder="1" applyAlignment="1" applyProtection="1">
      <alignment horizontal="center"/>
    </xf>
    <xf numFmtId="3" fontId="37" fillId="11" borderId="44" xfId="11" applyNumberFormat="1" applyFont="1" applyFill="1" applyBorder="1" applyAlignment="1" applyProtection="1">
      <alignment horizontal="center"/>
    </xf>
    <xf numFmtId="3" fontId="37" fillId="11" borderId="0" xfId="11" applyNumberFormat="1" applyFont="1" applyFill="1" applyBorder="1" applyAlignment="1" applyProtection="1">
      <alignment horizontal="center"/>
    </xf>
    <xf numFmtId="3" fontId="38" fillId="11" borderId="44" xfId="11" applyNumberFormat="1" applyFont="1" applyFill="1" applyBorder="1" applyAlignment="1" applyProtection="1">
      <alignment horizontal="center"/>
    </xf>
    <xf numFmtId="3" fontId="38" fillId="11" borderId="0" xfId="11" applyNumberFormat="1" applyFont="1" applyFill="1" applyBorder="1" applyAlignment="1" applyProtection="1">
      <alignment horizontal="center"/>
    </xf>
    <xf numFmtId="3" fontId="9" fillId="11" borderId="16" xfId="26" quotePrefix="1" applyNumberFormat="1" applyFont="1" applyFill="1" applyBorder="1" applyAlignment="1">
      <alignment horizontal="center" wrapText="1"/>
    </xf>
    <xf numFmtId="3" fontId="9" fillId="11" borderId="22" xfId="26" quotePrefix="1" applyNumberFormat="1" applyFont="1" applyFill="1" applyBorder="1" applyAlignment="1">
      <alignment horizontal="center" wrapText="1"/>
    </xf>
    <xf numFmtId="3" fontId="9" fillId="11" borderId="12" xfId="26" quotePrefix="1" applyNumberFormat="1" applyFont="1" applyFill="1" applyBorder="1" applyAlignment="1">
      <alignment horizontal="center" wrapText="1"/>
    </xf>
    <xf numFmtId="3" fontId="18" fillId="11" borderId="16" xfId="26" quotePrefix="1" applyNumberFormat="1" applyFont="1" applyFill="1" applyBorder="1" applyAlignment="1">
      <alignment horizontal="center"/>
    </xf>
    <xf numFmtId="3" fontId="18" fillId="11" borderId="22" xfId="26" quotePrefix="1" applyNumberFormat="1" applyFont="1" applyFill="1" applyBorder="1" applyAlignment="1">
      <alignment horizontal="center"/>
    </xf>
    <xf numFmtId="3" fontId="18" fillId="11" borderId="12" xfId="26" quotePrefix="1" applyNumberFormat="1" applyFont="1" applyFill="1" applyBorder="1" applyAlignment="1">
      <alignment horizontal="center"/>
    </xf>
    <xf numFmtId="0" fontId="24" fillId="0" borderId="14" xfId="26" applyFont="1" applyFill="1" applyBorder="1" applyAlignment="1">
      <alignment horizontal="center" vertical="center" wrapText="1"/>
    </xf>
    <xf numFmtId="0" fontId="24" fillId="0" borderId="0" xfId="26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wrapText="1"/>
    </xf>
    <xf numFmtId="0" fontId="9" fillId="11" borderId="1" xfId="26" applyFont="1" applyFill="1" applyBorder="1" applyAlignment="1">
      <alignment horizontal="center" vertical="center" wrapText="1"/>
    </xf>
    <xf numFmtId="0" fontId="9" fillId="0" borderId="1" xfId="26" applyFont="1" applyBorder="1" applyAlignment="1">
      <alignment horizontal="center" vertical="center" wrapText="1"/>
    </xf>
    <xf numFmtId="165" fontId="36" fillId="6" borderId="31" xfId="10" applyNumberFormat="1" applyFont="1" applyFill="1" applyBorder="1" applyAlignment="1" applyProtection="1">
      <alignment horizontal="center" vertical="center" wrapText="1"/>
    </xf>
    <xf numFmtId="165" fontId="36" fillId="6" borderId="33" xfId="10" applyNumberFormat="1" applyFont="1" applyFill="1" applyBorder="1" applyAlignment="1" applyProtection="1">
      <alignment horizontal="center" vertical="center" wrapText="1"/>
    </xf>
    <xf numFmtId="3" fontId="78" fillId="11" borderId="44" xfId="11" applyNumberFormat="1" applyFont="1" applyFill="1" applyBorder="1" applyAlignment="1" applyProtection="1">
      <alignment horizontal="center"/>
    </xf>
    <xf numFmtId="3" fontId="78" fillId="11" borderId="0" xfId="11" applyNumberFormat="1" applyFont="1" applyFill="1" applyBorder="1" applyAlignment="1" applyProtection="1">
      <alignment horizontal="center"/>
    </xf>
    <xf numFmtId="165" fontId="36" fillId="6" borderId="45" xfId="10" applyNumberFormat="1" applyFont="1" applyFill="1" applyBorder="1" applyAlignment="1" applyProtection="1">
      <alignment horizontal="center" vertical="center" wrapText="1"/>
    </xf>
    <xf numFmtId="165" fontId="36" fillId="6" borderId="53" xfId="10" applyNumberFormat="1" applyFont="1" applyFill="1" applyBorder="1" applyAlignment="1" applyProtection="1">
      <alignment horizontal="center" vertical="center" wrapText="1"/>
    </xf>
    <xf numFmtId="3" fontId="78" fillId="11" borderId="48" xfId="11" applyNumberFormat="1" applyFont="1" applyFill="1" applyBorder="1" applyAlignment="1" applyProtection="1">
      <alignment horizontal="center" wrapText="1"/>
    </xf>
    <xf numFmtId="3" fontId="78" fillId="11" borderId="28" xfId="11" applyNumberFormat="1" applyFont="1" applyFill="1" applyBorder="1" applyAlignment="1" applyProtection="1">
      <alignment horizontal="center" wrapText="1"/>
    </xf>
    <xf numFmtId="3" fontId="24" fillId="11" borderId="16" xfId="24" applyNumberFormat="1" applyFont="1" applyFill="1" applyBorder="1" applyAlignment="1">
      <alignment horizontal="center" vertical="center" wrapText="1"/>
    </xf>
    <xf numFmtId="3" fontId="24" fillId="11" borderId="22" xfId="24" applyNumberFormat="1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horizontal="center" vertical="center" wrapText="1"/>
    </xf>
    <xf numFmtId="0" fontId="24" fillId="0" borderId="50" xfId="24" applyFont="1" applyFill="1" applyBorder="1" applyAlignment="1">
      <alignment horizontal="center" vertical="center" wrapText="1"/>
    </xf>
    <xf numFmtId="0" fontId="9" fillId="0" borderId="17" xfId="24" applyFont="1" applyBorder="1" applyAlignment="1">
      <alignment horizontal="center" vertical="center" wrapText="1"/>
    </xf>
    <xf numFmtId="0" fontId="9" fillId="0" borderId="6" xfId="24" applyFont="1" applyBorder="1" applyAlignment="1">
      <alignment horizontal="center" vertical="center" wrapText="1"/>
    </xf>
    <xf numFmtId="0" fontId="24" fillId="11" borderId="50" xfId="0" applyFont="1" applyFill="1" applyBorder="1" applyAlignment="1">
      <alignment vertical="center" wrapText="1"/>
    </xf>
    <xf numFmtId="0" fontId="24" fillId="11" borderId="0" xfId="0" applyFont="1" applyFill="1" applyBorder="1" applyAlignment="1">
      <alignment vertical="center" wrapText="1"/>
    </xf>
    <xf numFmtId="49" fontId="96" fillId="11" borderId="0" xfId="0" applyNumberFormat="1" applyFont="1" applyFill="1" applyAlignment="1">
      <alignment horizontal="left" vertical="center" wrapText="1"/>
    </xf>
    <xf numFmtId="0" fontId="24" fillId="11" borderId="16" xfId="0" applyFont="1" applyFill="1" applyBorder="1" applyAlignment="1">
      <alignment vertical="center" wrapText="1"/>
    </xf>
    <xf numFmtId="0" fontId="24" fillId="11" borderId="12" xfId="0" applyFont="1" applyFill="1" applyBorder="1" applyAlignment="1">
      <alignment vertical="center" wrapText="1"/>
    </xf>
    <xf numFmtId="3" fontId="71" fillId="11" borderId="16" xfId="19" applyNumberFormat="1" applyFont="1" applyFill="1" applyBorder="1" applyAlignment="1">
      <alignment vertical="center" wrapText="1"/>
    </xf>
    <xf numFmtId="3" fontId="71" fillId="11" borderId="12" xfId="19" applyNumberFormat="1" applyFont="1" applyFill="1" applyBorder="1" applyAlignment="1">
      <alignment vertical="center" wrapText="1"/>
    </xf>
    <xf numFmtId="2" fontId="18" fillId="11" borderId="1" xfId="0" quotePrefix="1" applyNumberFormat="1" applyFont="1" applyFill="1" applyBorder="1" applyAlignment="1">
      <alignment vertical="center"/>
    </xf>
    <xf numFmtId="165" fontId="58" fillId="11" borderId="45" xfId="10" applyNumberFormat="1" applyFont="1" applyFill="1" applyBorder="1" applyAlignment="1" applyProtection="1">
      <alignment vertical="center" wrapText="1"/>
    </xf>
    <xf numFmtId="165" fontId="58" fillId="11" borderId="53" xfId="10" applyNumberFormat="1" applyFont="1" applyFill="1" applyBorder="1" applyAlignment="1" applyProtection="1">
      <alignment vertical="center" wrapText="1"/>
    </xf>
    <xf numFmtId="3" fontId="92" fillId="11" borderId="48" xfId="11" applyNumberFormat="1" applyFont="1" applyFill="1" applyBorder="1" applyAlignment="1" applyProtection="1">
      <alignment horizontal="center" vertical="center" wrapText="1"/>
    </xf>
    <xf numFmtId="3" fontId="92" fillId="11" borderId="28" xfId="11" applyNumberFormat="1" applyFont="1" applyFill="1" applyBorder="1" applyAlignment="1" applyProtection="1">
      <alignment horizontal="center" vertical="center" wrapText="1"/>
    </xf>
    <xf numFmtId="49" fontId="24" fillId="11" borderId="17" xfId="0" applyNumberFormat="1" applyFont="1" applyFill="1" applyBorder="1" applyAlignment="1">
      <alignment horizontal="center" vertical="center" wrapText="1"/>
    </xf>
    <xf numFmtId="49" fontId="24" fillId="11" borderId="6" xfId="0" applyNumberFormat="1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165" fontId="58" fillId="11" borderId="31" xfId="10" applyNumberFormat="1" applyFont="1" applyFill="1" applyBorder="1" applyAlignment="1" applyProtection="1">
      <alignment vertical="center" wrapText="1"/>
    </xf>
    <xf numFmtId="165" fontId="58" fillId="11" borderId="33" xfId="10" applyNumberFormat="1" applyFont="1" applyFill="1" applyBorder="1" applyAlignment="1" applyProtection="1">
      <alignment vertical="center" wrapText="1"/>
    </xf>
    <xf numFmtId="49" fontId="24" fillId="11" borderId="44" xfId="11" applyNumberFormat="1" applyFont="1" applyFill="1" applyBorder="1" applyAlignment="1" applyProtection="1">
      <alignment horizontal="center" vertical="center"/>
    </xf>
    <xf numFmtId="49" fontId="24" fillId="11" borderId="0" xfId="11" applyNumberFormat="1" applyFont="1" applyFill="1" applyBorder="1" applyAlignment="1" applyProtection="1">
      <alignment horizontal="center" vertical="center"/>
    </xf>
    <xf numFmtId="3" fontId="24" fillId="11" borderId="44" xfId="11" applyNumberFormat="1" applyFont="1" applyFill="1" applyBorder="1" applyAlignment="1" applyProtection="1">
      <alignment horizontal="center" vertical="center"/>
    </xf>
    <xf numFmtId="3" fontId="24" fillId="11" borderId="0" xfId="11" applyNumberFormat="1" applyFont="1" applyFill="1" applyBorder="1" applyAlignment="1" applyProtection="1">
      <alignment horizontal="center" vertical="center"/>
    </xf>
    <xf numFmtId="3" fontId="92" fillId="11" borderId="44" xfId="11" applyNumberFormat="1" applyFont="1" applyFill="1" applyBorder="1" applyAlignment="1" applyProtection="1">
      <alignment horizontal="center" vertical="center"/>
    </xf>
    <xf numFmtId="3" fontId="92" fillId="11" borderId="0" xfId="11" applyNumberFormat="1" applyFont="1" applyFill="1" applyBorder="1" applyAlignment="1" applyProtection="1">
      <alignment horizontal="center" vertical="center"/>
    </xf>
    <xf numFmtId="3" fontId="9" fillId="11" borderId="1" xfId="17" quotePrefix="1" applyNumberFormat="1" applyFont="1" applyFill="1" applyBorder="1" applyAlignment="1">
      <alignment horizontal="center" vertical="center" wrapText="1"/>
    </xf>
    <xf numFmtId="3" fontId="18" fillId="11" borderId="1" xfId="17" quotePrefix="1" applyNumberFormat="1" applyFont="1" applyFill="1" applyBorder="1" applyAlignment="1">
      <alignment vertical="center"/>
    </xf>
    <xf numFmtId="0" fontId="24" fillId="11" borderId="0" xfId="17" applyFont="1" applyFill="1" applyBorder="1" applyAlignment="1">
      <alignment horizontal="left" vertical="center" wrapText="1" shrinkToFit="1"/>
    </xf>
    <xf numFmtId="0" fontId="0" fillId="11" borderId="0" xfId="0" applyFill="1" applyAlignment="1">
      <alignment horizontal="left"/>
    </xf>
    <xf numFmtId="3" fontId="24" fillId="11" borderId="44" xfId="11" applyNumberFormat="1" applyFont="1" applyFill="1" applyBorder="1" applyAlignment="1" applyProtection="1">
      <alignment horizontal="center" vertical="center" wrapText="1"/>
    </xf>
    <xf numFmtId="3" fontId="24" fillId="11" borderId="0" xfId="11" applyNumberFormat="1" applyFont="1" applyFill="1" applyBorder="1" applyAlignment="1" applyProtection="1">
      <alignment horizontal="center" vertical="center" wrapText="1"/>
    </xf>
    <xf numFmtId="0" fontId="9" fillId="11" borderId="17" xfId="17" applyFont="1" applyFill="1" applyBorder="1" applyAlignment="1">
      <alignment horizontal="center" vertical="center" wrapText="1"/>
    </xf>
    <xf numFmtId="0" fontId="9" fillId="11" borderId="6" xfId="17" applyFont="1" applyFill="1" applyBorder="1" applyAlignment="1">
      <alignment horizontal="center" vertical="center" wrapText="1"/>
    </xf>
    <xf numFmtId="3" fontId="9" fillId="11" borderId="1" xfId="17" applyNumberFormat="1" applyFont="1" applyFill="1" applyBorder="1" applyAlignment="1">
      <alignment horizontal="center" vertical="center" wrapText="1"/>
    </xf>
    <xf numFmtId="3" fontId="18" fillId="11" borderId="1" xfId="17" quotePrefix="1" applyNumberFormat="1" applyFont="1" applyFill="1" applyBorder="1" applyAlignment="1">
      <alignment horizontal="center" vertical="center"/>
    </xf>
    <xf numFmtId="0" fontId="24" fillId="11" borderId="50" xfId="17" applyFont="1" applyFill="1" applyBorder="1" applyAlignment="1">
      <alignment horizontal="center" vertical="center" wrapText="1"/>
    </xf>
    <xf numFmtId="0" fontId="24" fillId="11" borderId="0" xfId="17" applyFont="1" applyFill="1" applyBorder="1" applyAlignment="1">
      <alignment horizontal="center" vertical="center" wrapText="1"/>
    </xf>
    <xf numFmtId="3" fontId="18" fillId="11" borderId="16" xfId="21" quotePrefix="1" applyNumberFormat="1" applyFont="1" applyFill="1" applyBorder="1" applyAlignment="1">
      <alignment horizontal="center" vertical="center"/>
    </xf>
    <xf numFmtId="3" fontId="18" fillId="11" borderId="22" xfId="21" quotePrefix="1" applyNumberFormat="1" applyFont="1" applyFill="1" applyBorder="1" applyAlignment="1">
      <alignment horizontal="center" vertical="center"/>
    </xf>
    <xf numFmtId="3" fontId="18" fillId="11" borderId="12" xfId="21" quotePrefix="1" applyNumberFormat="1" applyFont="1" applyFill="1" applyBorder="1" applyAlignment="1">
      <alignment horizontal="center" vertical="center"/>
    </xf>
    <xf numFmtId="0" fontId="24" fillId="11" borderId="50" xfId="21" applyFont="1" applyFill="1" applyBorder="1" applyAlignment="1">
      <alignment horizontal="left" vertical="top"/>
    </xf>
    <xf numFmtId="0" fontId="72" fillId="11" borderId="0" xfId="0" applyFont="1" applyFill="1" applyAlignment="1">
      <alignment horizontal="left" wrapText="1"/>
    </xf>
    <xf numFmtId="3" fontId="26" fillId="11" borderId="16" xfId="21" applyNumberFormat="1" applyFont="1" applyFill="1" applyBorder="1" applyAlignment="1">
      <alignment horizontal="center" vertical="center"/>
    </xf>
    <xf numFmtId="3" fontId="26" fillId="11" borderId="22" xfId="21" applyNumberFormat="1" applyFont="1" applyFill="1" applyBorder="1" applyAlignment="1">
      <alignment horizontal="center" vertical="center"/>
    </xf>
    <xf numFmtId="3" fontId="26" fillId="11" borderId="12" xfId="21" applyNumberFormat="1" applyFont="1" applyFill="1" applyBorder="1" applyAlignment="1">
      <alignment horizontal="center" vertical="center"/>
    </xf>
    <xf numFmtId="3" fontId="81" fillId="11" borderId="15" xfId="21" quotePrefix="1" applyNumberFormat="1" applyFont="1" applyFill="1" applyBorder="1" applyAlignment="1">
      <alignment horizontal="center" vertical="center" wrapText="1"/>
    </xf>
    <xf numFmtId="3" fontId="81" fillId="11" borderId="50" xfId="21" quotePrefix="1" applyNumberFormat="1" applyFont="1" applyFill="1" applyBorder="1" applyAlignment="1">
      <alignment horizontal="center" vertical="center" wrapText="1"/>
    </xf>
    <xf numFmtId="3" fontId="81" fillId="11" borderId="18" xfId="21" quotePrefix="1" applyNumberFormat="1" applyFont="1" applyFill="1" applyBorder="1" applyAlignment="1">
      <alignment horizontal="center" vertical="center" wrapText="1"/>
    </xf>
    <xf numFmtId="3" fontId="81" fillId="11" borderId="35" xfId="21" quotePrefix="1" applyNumberFormat="1" applyFont="1" applyFill="1" applyBorder="1" applyAlignment="1">
      <alignment horizontal="center" vertical="center" wrapText="1"/>
    </xf>
    <xf numFmtId="3" fontId="81" fillId="11" borderId="28" xfId="21" quotePrefix="1" applyNumberFormat="1" applyFont="1" applyFill="1" applyBorder="1" applyAlignment="1">
      <alignment horizontal="center" vertical="center" wrapText="1"/>
    </xf>
    <xf numFmtId="3" fontId="81" fillId="11" borderId="21" xfId="21" quotePrefix="1" applyNumberFormat="1" applyFont="1" applyFill="1" applyBorder="1" applyAlignment="1">
      <alignment horizontal="center" vertical="center" wrapText="1"/>
    </xf>
    <xf numFmtId="10" fontId="18" fillId="11" borderId="16" xfId="21" quotePrefix="1" applyNumberFormat="1" applyFont="1" applyFill="1" applyBorder="1" applyAlignment="1">
      <alignment horizontal="center" vertical="center"/>
    </xf>
    <xf numFmtId="10" fontId="18" fillId="11" borderId="22" xfId="21" quotePrefix="1" applyNumberFormat="1" applyFont="1" applyFill="1" applyBorder="1" applyAlignment="1">
      <alignment horizontal="center" vertical="center"/>
    </xf>
    <xf numFmtId="10" fontId="18" fillId="11" borderId="12" xfId="21" quotePrefix="1" applyNumberFormat="1" applyFont="1" applyFill="1" applyBorder="1" applyAlignment="1">
      <alignment horizontal="center" vertical="center"/>
    </xf>
    <xf numFmtId="3" fontId="34" fillId="11" borderId="44" xfId="11" applyNumberFormat="1" applyFont="1" applyFill="1" applyBorder="1" applyAlignment="1" applyProtection="1">
      <alignment horizontal="center" vertical="center"/>
    </xf>
    <xf numFmtId="3" fontId="34" fillId="11" borderId="0" xfId="11" applyNumberFormat="1" applyFont="1" applyFill="1" applyBorder="1" applyAlignment="1" applyProtection="1">
      <alignment horizontal="center" vertical="center"/>
    </xf>
    <xf numFmtId="3" fontId="34" fillId="11" borderId="48" xfId="11" applyNumberFormat="1" applyFont="1" applyFill="1" applyBorder="1" applyAlignment="1" applyProtection="1">
      <alignment horizontal="center" vertical="center" wrapText="1"/>
    </xf>
    <xf numFmtId="3" fontId="34" fillId="11" borderId="28" xfId="11" applyNumberFormat="1" applyFont="1" applyFill="1" applyBorder="1" applyAlignment="1" applyProtection="1">
      <alignment horizontal="center" vertical="center" wrapText="1"/>
    </xf>
    <xf numFmtId="3" fontId="34" fillId="11" borderId="0" xfId="11" applyNumberFormat="1" applyFont="1" applyFill="1" applyBorder="1" applyAlignment="1" applyProtection="1">
      <alignment horizontal="center" vertical="center" wrapText="1"/>
    </xf>
    <xf numFmtId="0" fontId="9" fillId="11" borderId="1" xfId="21" applyFont="1" applyFill="1" applyBorder="1" applyAlignment="1">
      <alignment horizontal="center" vertical="center" wrapText="1"/>
    </xf>
    <xf numFmtId="3" fontId="24" fillId="11" borderId="16" xfId="21" applyNumberFormat="1" applyFont="1" applyFill="1" applyBorder="1" applyAlignment="1">
      <alignment horizontal="center" vertical="center" wrapText="1"/>
    </xf>
    <xf numFmtId="3" fontId="24" fillId="11" borderId="22" xfId="21" applyNumberFormat="1" applyFont="1" applyFill="1" applyBorder="1" applyAlignment="1">
      <alignment horizontal="center" vertical="center" wrapText="1"/>
    </xf>
    <xf numFmtId="3" fontId="24" fillId="11" borderId="12" xfId="21" applyNumberFormat="1" applyFont="1" applyFill="1" applyBorder="1" applyAlignment="1">
      <alignment horizontal="center" vertical="center" wrapText="1"/>
    </xf>
    <xf numFmtId="3" fontId="24" fillId="11" borderId="1" xfId="21" applyNumberFormat="1" applyFont="1" applyFill="1" applyBorder="1" applyAlignment="1">
      <alignment horizontal="center" vertical="center" wrapText="1"/>
    </xf>
    <xf numFmtId="3" fontId="9" fillId="11" borderId="16" xfId="0" applyNumberFormat="1" applyFont="1" applyFill="1" applyBorder="1" applyAlignment="1">
      <alignment horizontal="center" vertical="center" wrapText="1"/>
    </xf>
    <xf numFmtId="3" fontId="9" fillId="11" borderId="22" xfId="0" applyNumberFormat="1" applyFont="1" applyFill="1" applyBorder="1" applyAlignment="1">
      <alignment horizontal="center" vertical="center" wrapText="1"/>
    </xf>
    <xf numFmtId="3" fontId="9" fillId="11" borderId="12" xfId="0" applyNumberFormat="1" applyFont="1" applyFill="1" applyBorder="1" applyAlignment="1">
      <alignment horizontal="center" vertical="center" wrapText="1"/>
    </xf>
    <xf numFmtId="3" fontId="24" fillId="11" borderId="16" xfId="0" applyNumberFormat="1" applyFont="1" applyFill="1" applyBorder="1" applyAlignment="1">
      <alignment horizontal="center" vertical="center" wrapText="1"/>
    </xf>
    <xf numFmtId="3" fontId="24" fillId="11" borderId="22" xfId="0" applyNumberFormat="1" applyFont="1" applyFill="1" applyBorder="1" applyAlignment="1">
      <alignment horizontal="center" vertical="center" wrapText="1"/>
    </xf>
    <xf numFmtId="3" fontId="24" fillId="11" borderId="12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11" borderId="15" xfId="22" applyFont="1" applyFill="1" applyBorder="1" applyAlignment="1">
      <alignment horizontal="center" vertical="center"/>
    </xf>
    <xf numFmtId="0" fontId="9" fillId="11" borderId="50" xfId="22" applyFont="1" applyFill="1" applyBorder="1" applyAlignment="1">
      <alignment horizontal="center" vertical="center"/>
    </xf>
    <xf numFmtId="16" fontId="9" fillId="11" borderId="16" xfId="22" applyNumberFormat="1" applyFont="1" applyFill="1" applyBorder="1" applyAlignment="1">
      <alignment horizontal="center" vertical="center"/>
    </xf>
    <xf numFmtId="16" fontId="9" fillId="11" borderId="22" xfId="22" applyNumberFormat="1" applyFont="1" applyFill="1" applyBorder="1" applyAlignment="1">
      <alignment horizontal="center" vertical="center"/>
    </xf>
    <xf numFmtId="16" fontId="9" fillId="11" borderId="12" xfId="22" applyNumberFormat="1" applyFont="1" applyFill="1" applyBorder="1" applyAlignment="1">
      <alignment horizontal="center" vertical="center"/>
    </xf>
    <xf numFmtId="166" fontId="21" fillId="11" borderId="15" xfId="11" applyNumberFormat="1" applyFont="1" applyFill="1" applyBorder="1" applyAlignment="1" applyProtection="1">
      <alignment horizontal="center" vertical="center"/>
    </xf>
    <xf numFmtId="166" fontId="21" fillId="11" borderId="50" xfId="11" applyNumberFormat="1" applyFont="1" applyFill="1" applyBorder="1" applyAlignment="1" applyProtection="1">
      <alignment horizontal="center" vertical="center"/>
    </xf>
    <xf numFmtId="0" fontId="9" fillId="11" borderId="0" xfId="22" applyFont="1" applyFill="1" applyAlignment="1">
      <alignment horizontal="left" vertical="center" wrapText="1"/>
    </xf>
    <xf numFmtId="0" fontId="21" fillId="11" borderId="1" xfId="22" applyFont="1" applyFill="1" applyBorder="1" applyAlignment="1">
      <alignment horizontal="center" vertical="center"/>
    </xf>
    <xf numFmtId="0" fontId="9" fillId="11" borderId="22" xfId="22" applyFont="1" applyFill="1" applyBorder="1" applyAlignment="1">
      <alignment horizontal="center" vertical="center"/>
    </xf>
    <xf numFmtId="49" fontId="9" fillId="11" borderId="16" xfId="22" applyNumberFormat="1" applyFont="1" applyFill="1" applyBorder="1" applyAlignment="1">
      <alignment horizontal="center" vertical="center"/>
    </xf>
    <xf numFmtId="49" fontId="9" fillId="11" borderId="22" xfId="22" applyNumberFormat="1" applyFont="1" applyFill="1" applyBorder="1" applyAlignment="1">
      <alignment horizontal="center" vertical="center"/>
    </xf>
    <xf numFmtId="49" fontId="9" fillId="11" borderId="12" xfId="22" applyNumberFormat="1" applyFont="1" applyFill="1" applyBorder="1" applyAlignment="1">
      <alignment horizontal="center" vertical="center"/>
    </xf>
    <xf numFmtId="0" fontId="9" fillId="11" borderId="28" xfId="22" applyFont="1" applyFill="1" applyBorder="1" applyAlignment="1">
      <alignment horizontal="center" vertical="center"/>
    </xf>
    <xf numFmtId="0" fontId="7" fillId="11" borderId="16" xfId="4" applyFont="1" applyFill="1" applyBorder="1" applyAlignment="1">
      <alignment horizontal="center" vertical="center" wrapText="1"/>
    </xf>
    <xf numFmtId="0" fontId="7" fillId="11" borderId="22" xfId="4" applyFont="1" applyFill="1" applyBorder="1" applyAlignment="1">
      <alignment horizontal="center" vertical="center" wrapText="1"/>
    </xf>
    <xf numFmtId="0" fontId="7" fillId="11" borderId="12" xfId="4" applyFont="1" applyFill="1" applyBorder="1" applyAlignment="1">
      <alignment horizontal="center" vertical="center" wrapText="1"/>
    </xf>
    <xf numFmtId="165" fontId="74" fillId="11" borderId="45" xfId="10" applyNumberFormat="1" applyFont="1" applyFill="1" applyBorder="1" applyAlignment="1" applyProtection="1">
      <alignment horizontal="center" vertical="center" wrapText="1"/>
    </xf>
    <xf numFmtId="165" fontId="74" fillId="11" borderId="53" xfId="10" applyNumberFormat="1" applyFont="1" applyFill="1" applyBorder="1" applyAlignment="1" applyProtection="1">
      <alignment horizontal="center" vertical="center" wrapText="1"/>
    </xf>
    <xf numFmtId="166" fontId="75" fillId="11" borderId="48" xfId="11" applyNumberFormat="1" applyFont="1" applyFill="1" applyBorder="1" applyAlignment="1" applyProtection="1">
      <alignment horizontal="center" vertical="center" wrapText="1"/>
    </xf>
    <xf numFmtId="166" fontId="75" fillId="11" borderId="28" xfId="11" applyNumberFormat="1" applyFont="1" applyFill="1" applyBorder="1" applyAlignment="1" applyProtection="1">
      <alignment horizontal="center" vertical="center" wrapText="1"/>
    </xf>
    <xf numFmtId="0" fontId="9" fillId="11" borderId="17" xfId="22" applyFont="1" applyFill="1" applyBorder="1" applyAlignment="1">
      <alignment horizontal="center" vertical="center" wrapText="1"/>
    </xf>
    <xf numFmtId="0" fontId="9" fillId="11" borderId="6" xfId="22" applyFont="1" applyFill="1" applyBorder="1" applyAlignment="1">
      <alignment horizontal="center" vertical="center" wrapText="1"/>
    </xf>
    <xf numFmtId="0" fontId="9" fillId="11" borderId="7" xfId="22" applyFont="1" applyFill="1" applyBorder="1" applyAlignment="1">
      <alignment horizontal="center" vertical="center" wrapText="1"/>
    </xf>
    <xf numFmtId="165" fontId="74" fillId="11" borderId="31" xfId="10" applyNumberFormat="1" applyFont="1" applyFill="1" applyBorder="1" applyAlignment="1" applyProtection="1">
      <alignment horizontal="center" vertical="center" wrapText="1"/>
    </xf>
    <xf numFmtId="165" fontId="74" fillId="11" borderId="33" xfId="10" applyNumberFormat="1" applyFont="1" applyFill="1" applyBorder="1" applyAlignment="1" applyProtection="1">
      <alignment horizontal="center" vertical="center" wrapText="1"/>
    </xf>
    <xf numFmtId="166" fontId="75" fillId="11" borderId="44" xfId="11" applyNumberFormat="1" applyFont="1" applyFill="1" applyBorder="1" applyAlignment="1" applyProtection="1">
      <alignment horizontal="center" vertical="center"/>
    </xf>
    <xf numFmtId="166" fontId="75" fillId="11" borderId="0" xfId="11" applyNumberFormat="1" applyFont="1" applyFill="1" applyBorder="1" applyAlignment="1" applyProtection="1">
      <alignment horizontal="center" vertical="center"/>
    </xf>
    <xf numFmtId="165" fontId="75" fillId="11" borderId="31" xfId="10" applyNumberFormat="1" applyFont="1" applyFill="1" applyBorder="1" applyAlignment="1" applyProtection="1">
      <alignment horizontal="center" vertical="center" wrapText="1"/>
    </xf>
    <xf numFmtId="165" fontId="75" fillId="11" borderId="33" xfId="10" applyNumberFormat="1" applyFont="1" applyFill="1" applyBorder="1" applyAlignment="1" applyProtection="1">
      <alignment horizontal="center" vertical="center" wrapText="1"/>
    </xf>
    <xf numFmtId="0" fontId="24" fillId="11" borderId="1" xfId="21" applyFont="1" applyFill="1" applyBorder="1" applyAlignment="1">
      <alignment horizontal="left" vertical="center" wrapText="1"/>
    </xf>
    <xf numFmtId="4" fontId="6" fillId="11" borderId="16" xfId="21" applyNumberFormat="1" applyFont="1" applyFill="1" applyBorder="1" applyAlignment="1">
      <alignment horizontal="center" vertical="center"/>
    </xf>
    <xf numFmtId="4" fontId="6" fillId="11" borderId="22" xfId="21" applyNumberFormat="1" applyFont="1" applyFill="1" applyBorder="1" applyAlignment="1">
      <alignment horizontal="center" vertical="center"/>
    </xf>
    <xf numFmtId="4" fontId="6" fillId="11" borderId="12" xfId="21" applyNumberFormat="1" applyFont="1" applyFill="1" applyBorder="1" applyAlignment="1">
      <alignment horizontal="center" vertical="center"/>
    </xf>
    <xf numFmtId="0" fontId="9" fillId="11" borderId="16" xfId="21" applyFont="1" applyFill="1" applyBorder="1" applyAlignment="1">
      <alignment horizontal="center" vertical="center"/>
    </xf>
    <xf numFmtId="0" fontId="9" fillId="11" borderId="22" xfId="21" applyFont="1" applyFill="1" applyBorder="1" applyAlignment="1">
      <alignment horizontal="center" vertical="center"/>
    </xf>
    <xf numFmtId="0" fontId="9" fillId="11" borderId="12" xfId="21" applyFont="1" applyFill="1" applyBorder="1" applyAlignment="1">
      <alignment horizontal="center" vertical="center"/>
    </xf>
    <xf numFmtId="4" fontId="71" fillId="11" borderId="16" xfId="19" applyNumberFormat="1" applyFont="1" applyFill="1" applyBorder="1" applyAlignment="1">
      <alignment horizontal="center" vertical="center"/>
    </xf>
    <xf numFmtId="4" fontId="71" fillId="11" borderId="22" xfId="19" applyNumberFormat="1" applyFont="1" applyFill="1" applyBorder="1" applyAlignment="1">
      <alignment horizontal="center" vertical="center"/>
    </xf>
    <xf numFmtId="4" fontId="71" fillId="11" borderId="12" xfId="19" applyNumberFormat="1" applyFont="1" applyFill="1" applyBorder="1" applyAlignment="1">
      <alignment horizontal="center" vertical="center"/>
    </xf>
    <xf numFmtId="4" fontId="71" fillId="11" borderId="1" xfId="19" applyNumberFormat="1" applyFont="1" applyFill="1" applyBorder="1" applyAlignment="1">
      <alignment horizontal="center" vertical="center"/>
    </xf>
    <xf numFmtId="0" fontId="9" fillId="11" borderId="1" xfId="21" applyFont="1" applyFill="1" applyBorder="1" applyAlignment="1">
      <alignment horizontal="center" vertical="center"/>
    </xf>
    <xf numFmtId="165" fontId="119" fillId="11" borderId="28" xfId="10" applyNumberFormat="1" applyFont="1" applyFill="1" applyBorder="1" applyAlignment="1" applyProtection="1">
      <alignment horizontal="center" vertical="center" wrapText="1"/>
    </xf>
    <xf numFmtId="165" fontId="119" fillId="11" borderId="59" xfId="10" applyNumberFormat="1" applyFont="1" applyFill="1" applyBorder="1" applyAlignment="1" applyProtection="1">
      <alignment horizontal="center" vertical="center" wrapText="1"/>
    </xf>
    <xf numFmtId="3" fontId="120" fillId="11" borderId="48" xfId="11" applyNumberFormat="1" applyFont="1" applyFill="1" applyBorder="1" applyAlignment="1" applyProtection="1">
      <alignment horizontal="center" vertical="center"/>
    </xf>
    <xf numFmtId="3" fontId="120" fillId="11" borderId="28" xfId="11" applyNumberFormat="1" applyFont="1" applyFill="1" applyBorder="1" applyAlignment="1" applyProtection="1">
      <alignment horizontal="center" vertical="center"/>
    </xf>
    <xf numFmtId="165" fontId="119" fillId="11" borderId="0" xfId="10" applyNumberFormat="1" applyFont="1" applyFill="1" applyBorder="1" applyAlignment="1" applyProtection="1">
      <alignment horizontal="center" vertical="center" wrapText="1"/>
    </xf>
    <xf numFmtId="165" fontId="119" fillId="11" borderId="47" xfId="10" applyNumberFormat="1" applyFont="1" applyFill="1" applyBorder="1" applyAlignment="1" applyProtection="1">
      <alignment horizontal="center" vertical="center" wrapText="1"/>
    </xf>
    <xf numFmtId="3" fontId="63" fillId="11" borderId="44" xfId="11" applyNumberFormat="1" applyFont="1" applyFill="1" applyBorder="1" applyAlignment="1" applyProtection="1">
      <alignment horizontal="center" vertical="center"/>
    </xf>
    <xf numFmtId="3" fontId="63" fillId="11" borderId="0" xfId="11" applyNumberFormat="1" applyFont="1" applyFill="1" applyBorder="1" applyAlignment="1" applyProtection="1">
      <alignment horizontal="center" vertical="center"/>
    </xf>
    <xf numFmtId="49" fontId="63" fillId="11" borderId="44" xfId="11" applyNumberFormat="1" applyFont="1" applyFill="1" applyBorder="1" applyAlignment="1" applyProtection="1">
      <alignment horizontal="center" vertical="center"/>
    </xf>
    <xf numFmtId="49" fontId="63" fillId="11" borderId="0" xfId="11" applyNumberFormat="1" applyFont="1" applyFill="1" applyBorder="1" applyAlignment="1" applyProtection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65" fontId="36" fillId="6" borderId="0" xfId="10" applyNumberFormat="1" applyFont="1" applyFill="1" applyBorder="1" applyAlignment="1" applyProtection="1">
      <alignment horizontal="center" vertical="center"/>
    </xf>
    <xf numFmtId="165" fontId="36" fillId="6" borderId="47" xfId="10" applyNumberFormat="1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wrapText="1"/>
    </xf>
    <xf numFmtId="0" fontId="9" fillId="0" borderId="22" xfId="3" applyFont="1" applyFill="1" applyBorder="1" applyAlignment="1">
      <alignment horizontal="center" wrapText="1"/>
    </xf>
    <xf numFmtId="0" fontId="24" fillId="0" borderId="17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4" fontId="9" fillId="0" borderId="37" xfId="3" applyNumberFormat="1" applyFont="1" applyBorder="1" applyAlignment="1">
      <alignment horizontal="center" vertical="center" wrapText="1"/>
    </xf>
    <xf numFmtId="4" fontId="9" fillId="0" borderId="38" xfId="3" applyNumberFormat="1" applyFont="1" applyBorder="1" applyAlignment="1">
      <alignment horizontal="center" vertical="center" wrapText="1"/>
    </xf>
    <xf numFmtId="4" fontId="9" fillId="0" borderId="10" xfId="3" applyNumberFormat="1" applyFont="1" applyBorder="1" applyAlignment="1">
      <alignment horizontal="center" vertical="center" wrapText="1"/>
    </xf>
    <xf numFmtId="0" fontId="41" fillId="0" borderId="17" xfId="2" applyFont="1" applyBorder="1" applyAlignment="1">
      <alignment horizontal="center" vertical="center"/>
    </xf>
    <xf numFmtId="0" fontId="41" fillId="0" borderId="11" xfId="2" applyFont="1" applyBorder="1" applyAlignment="1">
      <alignment horizontal="center" vertical="center"/>
    </xf>
    <xf numFmtId="2" fontId="37" fillId="0" borderId="44" xfId="11" applyNumberFormat="1" applyFont="1" applyBorder="1" applyAlignment="1" applyProtection="1">
      <alignment horizontal="center" vertical="center"/>
    </xf>
    <xf numFmtId="2" fontId="37" fillId="0" borderId="0" xfId="11" applyNumberFormat="1" applyFont="1" applyBorder="1" applyAlignment="1" applyProtection="1">
      <alignment horizontal="center" vertical="center"/>
    </xf>
    <xf numFmtId="166" fontId="37" fillId="11" borderId="31" xfId="11" applyNumberFormat="1" applyFont="1" applyFill="1" applyBorder="1" applyAlignment="1" applyProtection="1">
      <alignment horizontal="center" vertical="center"/>
    </xf>
    <xf numFmtId="166" fontId="37" fillId="11" borderId="32" xfId="11" applyNumberFormat="1" applyFont="1" applyFill="1" applyBorder="1" applyAlignment="1" applyProtection="1">
      <alignment horizontal="center" vertical="center"/>
    </xf>
    <xf numFmtId="49" fontId="37" fillId="11" borderId="31" xfId="11" applyNumberFormat="1" applyFont="1" applyFill="1" applyBorder="1" applyAlignment="1" applyProtection="1">
      <alignment horizontal="center" vertical="center"/>
    </xf>
    <xf numFmtId="49" fontId="37" fillId="11" borderId="32" xfId="11" applyNumberFormat="1" applyFont="1" applyFill="1" applyBorder="1" applyAlignment="1" applyProtection="1">
      <alignment horizontal="center" vertical="center"/>
    </xf>
    <xf numFmtId="49" fontId="34" fillId="6" borderId="16" xfId="0" applyNumberFormat="1" applyFont="1" applyFill="1" applyBorder="1" applyAlignment="1">
      <alignment horizontal="left" vertical="center"/>
    </xf>
    <xf numFmtId="49" fontId="34" fillId="6" borderId="22" xfId="0" applyNumberFormat="1" applyFont="1" applyFill="1" applyBorder="1" applyAlignment="1">
      <alignment horizontal="left" vertical="center"/>
    </xf>
    <xf numFmtId="49" fontId="34" fillId="6" borderId="12" xfId="0" applyNumberFormat="1" applyFont="1" applyFill="1" applyBorder="1" applyAlignment="1">
      <alignment horizontal="left" vertical="center"/>
    </xf>
    <xf numFmtId="49" fontId="34" fillId="6" borderId="16" xfId="0" applyNumberFormat="1" applyFont="1" applyFill="1" applyBorder="1" applyAlignment="1">
      <alignment horizontal="left" vertical="center" wrapText="1"/>
    </xf>
    <xf numFmtId="49" fontId="34" fillId="6" borderId="22" xfId="0" applyNumberFormat="1" applyFont="1" applyFill="1" applyBorder="1" applyAlignment="1">
      <alignment horizontal="left" vertical="center" wrapText="1"/>
    </xf>
    <xf numFmtId="49" fontId="34" fillId="6" borderId="12" xfId="0" applyNumberFormat="1" applyFont="1" applyFill="1" applyBorder="1" applyAlignment="1">
      <alignment horizontal="left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22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49" fontId="37" fillId="0" borderId="44" xfId="11" applyNumberFormat="1" applyFont="1" applyBorder="1" applyAlignment="1" applyProtection="1">
      <alignment horizontal="center" vertical="center"/>
    </xf>
    <xf numFmtId="49" fontId="37" fillId="0" borderId="0" xfId="1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49" fontId="37" fillId="11" borderId="44" xfId="11" applyNumberFormat="1" applyFont="1" applyFill="1" applyBorder="1" applyAlignment="1" applyProtection="1">
      <alignment horizontal="center" vertical="center"/>
    </xf>
    <xf numFmtId="166" fontId="38" fillId="11" borderId="44" xfId="11" applyNumberFormat="1" applyFont="1" applyFill="1" applyBorder="1" applyAlignment="1" applyProtection="1">
      <alignment horizontal="center" vertical="center"/>
    </xf>
    <xf numFmtId="166" fontId="38" fillId="11" borderId="0" xfId="11" applyNumberFormat="1" applyFont="1" applyFill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/>
    </xf>
    <xf numFmtId="166" fontId="38" fillId="0" borderId="31" xfId="11" applyNumberFormat="1" applyFont="1" applyBorder="1" applyAlignment="1" applyProtection="1">
      <alignment horizontal="center" vertical="center" wrapText="1"/>
    </xf>
    <xf numFmtId="166" fontId="38" fillId="0" borderId="32" xfId="11" applyNumberFormat="1" applyFont="1" applyBorder="1" applyAlignment="1" applyProtection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66" fontId="38" fillId="0" borderId="48" xfId="11" applyNumberFormat="1" applyFont="1" applyBorder="1" applyAlignment="1" applyProtection="1">
      <alignment horizontal="center" vertical="center"/>
    </xf>
    <xf numFmtId="166" fontId="38" fillId="0" borderId="28" xfId="11" applyNumberFormat="1" applyFont="1" applyBorder="1" applyAlignment="1" applyProtection="1">
      <alignment horizontal="center" vertical="center"/>
    </xf>
  </cellXfs>
  <cellStyles count="39">
    <cellStyle name="ContentsHyperlink" xfId="1"/>
    <cellStyle name="Normal" xfId="0" builtinId="0"/>
    <cellStyle name="Normal 10" xfId="28"/>
    <cellStyle name="Normal 11" xfId="34"/>
    <cellStyle name="Normal 12" xfId="16"/>
    <cellStyle name="Normal 13" xfId="18"/>
    <cellStyle name="Normal 14" xfId="13"/>
    <cellStyle name="Normal 15" xfId="14"/>
    <cellStyle name="Normal 17" xfId="15"/>
    <cellStyle name="Normal 2" xfId="2"/>
    <cellStyle name="Normal 2 10" xfId="21"/>
    <cellStyle name="Normal 2 13" xfId="22"/>
    <cellStyle name="Normal 2 2" xfId="3"/>
    <cellStyle name="Normal 2 2 12" xfId="20"/>
    <cellStyle name="Normal 2 2 2" xfId="19"/>
    <cellStyle name="Normal 2 3" xfId="23"/>
    <cellStyle name="Normal 2 4" xfId="31"/>
    <cellStyle name="Normal 2 5" xfId="33"/>
    <cellStyle name="Normal 2 6" xfId="25"/>
    <cellStyle name="Normal 2 7" xfId="27"/>
    <cellStyle name="Normal 2 8" xfId="29"/>
    <cellStyle name="Normal 2 9" xfId="35"/>
    <cellStyle name="Normal 3" xfId="4"/>
    <cellStyle name="Normal 3 2" xfId="5"/>
    <cellStyle name="Normal 4" xfId="6"/>
    <cellStyle name="Normal 5" xfId="17"/>
    <cellStyle name="Normal 6" xfId="30"/>
    <cellStyle name="Normal 7" xfId="32"/>
    <cellStyle name="Normal 8" xfId="24"/>
    <cellStyle name="Normal 9" xfId="26"/>
    <cellStyle name="Normal_normativ kadra _ tabel_1" xfId="7"/>
    <cellStyle name="Normal_Normativi_Stampanje" xfId="36"/>
    <cellStyle name="Normal_Priznto djuture" xfId="38"/>
    <cellStyle name="Normal_Sheet1" xfId="37"/>
    <cellStyle name="Normal_TAB DZ 1-10 (1)" xfId="8"/>
    <cellStyle name="Normal_TAB DZ 1-10 (1) 2" xfId="9"/>
    <cellStyle name="Student Information" xfId="10"/>
    <cellStyle name="Student Information - user entered" xfId="11"/>
    <cellStyle name="Total" xfId="12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KUMENTA/Downloads/2.NJIHOV%20NORMATIV%20IZVR&#352;ENJE%201.1.-30.6._2018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3">
          <cell r="C3" t="str">
            <v>30.06.2018.</v>
          </cell>
        </row>
        <row r="29">
          <cell r="I29">
            <v>138</v>
          </cell>
          <cell r="P29">
            <v>131</v>
          </cell>
          <cell r="R29">
            <v>393</v>
          </cell>
          <cell r="X29">
            <v>448</v>
          </cell>
          <cell r="Z29">
            <v>4</v>
          </cell>
          <cell r="AA29">
            <v>7</v>
          </cell>
          <cell r="AB29">
            <v>0</v>
          </cell>
          <cell r="AD29">
            <v>0</v>
          </cell>
          <cell r="AE29">
            <v>0</v>
          </cell>
          <cell r="AF29">
            <v>0</v>
          </cell>
        </row>
      </sheetData>
      <sheetData sheetId="2">
        <row r="18">
          <cell r="E18">
            <v>7</v>
          </cell>
          <cell r="H18">
            <v>13</v>
          </cell>
          <cell r="J18">
            <v>23</v>
          </cell>
          <cell r="K18">
            <v>33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3">
        <row r="11">
          <cell r="D11">
            <v>2</v>
          </cell>
          <cell r="E11">
            <v>3</v>
          </cell>
          <cell r="J11">
            <v>7</v>
          </cell>
        </row>
        <row r="18">
          <cell r="H18">
            <v>3</v>
          </cell>
          <cell r="J18">
            <v>3</v>
          </cell>
        </row>
        <row r="22">
          <cell r="D22">
            <v>35</v>
          </cell>
          <cell r="E22">
            <v>6</v>
          </cell>
          <cell r="J22">
            <v>52</v>
          </cell>
          <cell r="L22">
            <v>119</v>
          </cell>
          <cell r="O22">
            <v>145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4">
        <row r="23">
          <cell r="B23">
            <v>27</v>
          </cell>
          <cell r="C23">
            <v>37</v>
          </cell>
          <cell r="E23">
            <v>126</v>
          </cell>
          <cell r="F23">
            <v>169</v>
          </cell>
          <cell r="H23">
            <v>0</v>
          </cell>
          <cell r="I2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="60" workbookViewId="0">
      <selection activeCell="N17" sqref="N17"/>
    </sheetView>
  </sheetViews>
  <sheetFormatPr defaultRowHeight="12.75"/>
  <cols>
    <col min="1" max="1" width="12.28515625" style="9" customWidth="1"/>
    <col min="2" max="16384" width="9.140625" style="9"/>
  </cols>
  <sheetData>
    <row r="2" spans="1:9" ht="14.25">
      <c r="B2" s="1824" t="s">
        <v>19</v>
      </c>
      <c r="C2" s="1824"/>
      <c r="D2" s="1824"/>
      <c r="E2" s="1824"/>
      <c r="F2" s="1824"/>
      <c r="G2" s="1824"/>
      <c r="H2" s="1824"/>
    </row>
    <row r="3" spans="1:9" ht="15.75">
      <c r="B3" s="1825" t="s">
        <v>20</v>
      </c>
      <c r="C3" s="1825"/>
      <c r="D3" s="1825"/>
      <c r="E3" s="1825"/>
      <c r="F3" s="1825"/>
      <c r="G3" s="1825"/>
      <c r="H3" s="1825"/>
    </row>
    <row r="6" spans="1:9" ht="18.75">
      <c r="A6" s="1826" t="s">
        <v>21</v>
      </c>
      <c r="B6" s="1826"/>
      <c r="C6" s="1826"/>
      <c r="D6" s="1826"/>
      <c r="E6" s="1826"/>
      <c r="F6" s="1826"/>
      <c r="G6" s="1826"/>
      <c r="H6" s="1826"/>
      <c r="I6" s="1826"/>
    </row>
    <row r="7" spans="1:9" ht="18.75">
      <c r="A7" s="1826" t="s">
        <v>22</v>
      </c>
      <c r="B7" s="1826"/>
      <c r="C7" s="1826"/>
      <c r="D7" s="1826"/>
      <c r="E7" s="1826"/>
      <c r="F7" s="1826"/>
      <c r="G7" s="1826"/>
      <c r="H7" s="1826"/>
      <c r="I7" s="1826"/>
    </row>
    <row r="8" spans="1:9" ht="18.75">
      <c r="A8" s="1826" t="s">
        <v>367</v>
      </c>
      <c r="B8" s="1826"/>
      <c r="C8" s="1826"/>
      <c r="D8" s="1826"/>
      <c r="E8" s="1826"/>
      <c r="F8" s="1826"/>
      <c r="G8" s="1826"/>
      <c r="H8" s="1826"/>
      <c r="I8" s="1826"/>
    </row>
    <row r="9" spans="1:9" ht="18.75">
      <c r="A9" s="1826"/>
      <c r="B9" s="1826"/>
      <c r="C9" s="1826"/>
      <c r="D9" s="1826"/>
      <c r="E9" s="1826"/>
      <c r="F9" s="1826"/>
      <c r="G9" s="1826"/>
      <c r="H9" s="1826"/>
      <c r="I9" s="1826"/>
    </row>
    <row r="10" spans="1:9">
      <c r="B10" s="24" t="s">
        <v>67</v>
      </c>
    </row>
    <row r="12" spans="1:9" ht="14.25">
      <c r="A12" s="107" t="s">
        <v>335</v>
      </c>
      <c r="B12" s="108"/>
      <c r="C12" s="108"/>
      <c r="D12" s="108"/>
      <c r="E12" s="108"/>
      <c r="F12" s="108"/>
      <c r="G12" s="108"/>
      <c r="H12" s="108"/>
      <c r="I12" s="108"/>
    </row>
    <row r="13" spans="1:9" ht="14.25">
      <c r="A13" s="107" t="s">
        <v>336</v>
      </c>
      <c r="B13" s="108"/>
      <c r="C13" s="108"/>
      <c r="D13" s="108"/>
      <c r="E13" s="108"/>
      <c r="F13" s="108"/>
      <c r="G13" s="108"/>
      <c r="H13" s="108"/>
      <c r="I13" s="108"/>
    </row>
    <row r="14" spans="1:9" ht="36" customHeight="1">
      <c r="A14" s="1822" t="s">
        <v>337</v>
      </c>
      <c r="B14" s="1823"/>
      <c r="C14" s="1823"/>
      <c r="D14" s="1823"/>
      <c r="E14" s="1823"/>
      <c r="F14" s="1823"/>
      <c r="G14" s="1823"/>
      <c r="H14" s="1823"/>
      <c r="I14" s="1823"/>
    </row>
    <row r="15" spans="1:9" ht="14.25">
      <c r="A15" s="107" t="s">
        <v>338</v>
      </c>
      <c r="B15" s="108"/>
      <c r="C15" s="108"/>
      <c r="D15" s="108"/>
      <c r="E15" s="108"/>
      <c r="F15" s="108"/>
      <c r="G15" s="108"/>
      <c r="H15" s="108"/>
      <c r="I15" s="108"/>
    </row>
    <row r="16" spans="1:9" ht="14.25">
      <c r="A16" s="108" t="s">
        <v>234</v>
      </c>
      <c r="B16" s="108"/>
      <c r="C16" s="108"/>
      <c r="D16" s="108"/>
      <c r="E16" s="108"/>
      <c r="F16" s="108"/>
      <c r="G16" s="108"/>
      <c r="H16" s="108"/>
      <c r="I16" s="108"/>
    </row>
    <row r="17" spans="1:9" ht="15.75" customHeight="1">
      <c r="A17" s="108" t="s">
        <v>241</v>
      </c>
      <c r="B17" s="108"/>
      <c r="C17" s="108"/>
      <c r="D17" s="108"/>
      <c r="E17" s="108"/>
      <c r="F17" s="108"/>
      <c r="G17" s="108"/>
      <c r="H17" s="108"/>
      <c r="I17" s="108"/>
    </row>
    <row r="18" spans="1:9" ht="15.75" customHeight="1">
      <c r="A18" s="108" t="s">
        <v>242</v>
      </c>
      <c r="B18" s="108"/>
      <c r="C18" s="108"/>
      <c r="D18" s="108"/>
      <c r="E18" s="108"/>
      <c r="F18" s="108"/>
      <c r="G18" s="108"/>
      <c r="H18" s="108"/>
      <c r="I18" s="108"/>
    </row>
    <row r="19" spans="1:9" ht="14.25">
      <c r="A19" s="108" t="s">
        <v>330</v>
      </c>
      <c r="B19" s="108"/>
      <c r="C19" s="108"/>
      <c r="D19" s="108"/>
      <c r="E19" s="108"/>
      <c r="F19" s="108"/>
      <c r="G19" s="108"/>
      <c r="H19" s="108"/>
      <c r="I19" s="108"/>
    </row>
    <row r="20" spans="1:9" ht="14.25">
      <c r="A20" s="108" t="s">
        <v>250</v>
      </c>
      <c r="B20" s="108"/>
      <c r="C20" s="108"/>
      <c r="D20" s="108"/>
      <c r="E20" s="108"/>
      <c r="F20" s="108"/>
      <c r="G20" s="108"/>
      <c r="H20" s="108"/>
      <c r="I20" s="108"/>
    </row>
    <row r="21" spans="1:9" ht="14.25">
      <c r="A21" s="108" t="s">
        <v>254</v>
      </c>
      <c r="B21" s="108"/>
      <c r="C21" s="108"/>
      <c r="D21" s="108"/>
      <c r="E21" s="108"/>
      <c r="F21" s="108"/>
      <c r="G21" s="108"/>
      <c r="H21" s="108"/>
      <c r="I21" s="108"/>
    </row>
    <row r="22" spans="1:9" ht="14.25">
      <c r="A22" s="199" t="s">
        <v>252</v>
      </c>
      <c r="B22" s="108"/>
      <c r="C22" s="108"/>
      <c r="D22" s="108"/>
      <c r="E22" s="108"/>
      <c r="F22" s="108"/>
      <c r="G22" s="108"/>
      <c r="H22" s="108"/>
      <c r="I22" s="108"/>
    </row>
    <row r="23" spans="1:9" ht="14.25">
      <c r="A23" s="199" t="s">
        <v>1793</v>
      </c>
      <c r="B23" s="108"/>
      <c r="C23" s="108"/>
      <c r="D23" s="108"/>
      <c r="E23" s="108"/>
      <c r="F23" s="108"/>
      <c r="G23" s="108"/>
      <c r="H23" s="108"/>
      <c r="I23" s="108"/>
    </row>
    <row r="24" spans="1:9" ht="14.25">
      <c r="A24" s="108" t="s">
        <v>331</v>
      </c>
      <c r="B24" s="108"/>
      <c r="C24" s="108"/>
      <c r="D24" s="108"/>
      <c r="E24" s="108"/>
      <c r="F24" s="108"/>
      <c r="G24" s="108"/>
      <c r="H24" s="108"/>
      <c r="I24" s="108"/>
    </row>
    <row r="25" spans="1:9" ht="14.25">
      <c r="A25" s="108" t="s">
        <v>265</v>
      </c>
      <c r="B25" s="108"/>
      <c r="C25" s="108"/>
      <c r="D25" s="108"/>
      <c r="E25" s="108"/>
      <c r="F25" s="108"/>
      <c r="G25" s="108"/>
      <c r="H25" s="108"/>
      <c r="I25" s="108"/>
    </row>
    <row r="26" spans="1:9" ht="14.25">
      <c r="A26" s="108" t="s">
        <v>332</v>
      </c>
      <c r="B26" s="108"/>
      <c r="C26" s="108"/>
      <c r="D26" s="108"/>
      <c r="E26" s="108"/>
      <c r="F26" s="108"/>
      <c r="G26" s="108"/>
      <c r="H26" s="108"/>
      <c r="I26" s="108"/>
    </row>
    <row r="27" spans="1:9" ht="14.25">
      <c r="A27" s="108" t="s">
        <v>141</v>
      </c>
      <c r="B27" s="108"/>
      <c r="C27" s="108"/>
      <c r="D27" s="108"/>
      <c r="E27" s="108"/>
      <c r="F27" s="108"/>
      <c r="G27" s="108"/>
      <c r="H27" s="108"/>
      <c r="I27" s="108"/>
    </row>
    <row r="28" spans="1:9" ht="14.25">
      <c r="A28" s="108" t="s">
        <v>317</v>
      </c>
      <c r="B28" s="108"/>
      <c r="C28" s="108"/>
      <c r="D28" s="108"/>
      <c r="E28" s="108"/>
      <c r="F28" s="108"/>
      <c r="G28" s="108"/>
      <c r="H28" s="108"/>
      <c r="I28" s="108"/>
    </row>
    <row r="29" spans="1:9" ht="14.25">
      <c r="A29" s="108" t="s">
        <v>325</v>
      </c>
      <c r="B29" s="108"/>
      <c r="C29" s="108"/>
      <c r="D29" s="108"/>
      <c r="E29" s="108"/>
      <c r="F29" s="108"/>
      <c r="G29" s="108"/>
      <c r="H29" s="108"/>
      <c r="I29" s="108"/>
    </row>
    <row r="30" spans="1:9" ht="14.25">
      <c r="A30" s="108" t="s">
        <v>327</v>
      </c>
      <c r="B30" s="108"/>
      <c r="C30" s="108"/>
      <c r="D30" s="108"/>
      <c r="E30" s="108"/>
      <c r="F30" s="108"/>
      <c r="G30" s="108"/>
      <c r="H30" s="108"/>
      <c r="I30" s="108"/>
    </row>
    <row r="31" spans="1:9" ht="14.25">
      <c r="A31" s="108" t="s">
        <v>328</v>
      </c>
      <c r="B31" s="108"/>
      <c r="C31" s="108"/>
      <c r="D31" s="108"/>
      <c r="E31" s="108"/>
      <c r="F31" s="108"/>
      <c r="G31" s="108"/>
      <c r="H31" s="108"/>
      <c r="I31" s="108"/>
    </row>
    <row r="32" spans="1:9" ht="14.25">
      <c r="A32" s="108" t="s">
        <v>329</v>
      </c>
      <c r="B32" s="108"/>
      <c r="C32" s="108"/>
      <c r="D32" s="108"/>
      <c r="E32" s="108"/>
      <c r="F32" s="108"/>
      <c r="G32" s="108"/>
      <c r="H32" s="108"/>
      <c r="I32" s="108"/>
    </row>
    <row r="33" spans="1:9" ht="14.25">
      <c r="A33" s="199"/>
      <c r="B33" s="108"/>
      <c r="C33" s="108"/>
      <c r="D33" s="108"/>
      <c r="E33" s="108"/>
      <c r="F33" s="108"/>
      <c r="G33" s="108"/>
      <c r="H33" s="108"/>
      <c r="I33" s="108"/>
    </row>
  </sheetData>
  <mergeCells count="7">
    <mergeCell ref="A14:I14"/>
    <mergeCell ref="B2:H2"/>
    <mergeCell ref="B3:H3"/>
    <mergeCell ref="A9:I9"/>
    <mergeCell ref="A6:I6"/>
    <mergeCell ref="A7:I7"/>
    <mergeCell ref="A8:I8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I37" sqref="I37:I38"/>
    </sheetView>
  </sheetViews>
  <sheetFormatPr defaultRowHeight="12.75"/>
  <cols>
    <col min="1" max="1" width="22.28515625" style="9" customWidth="1"/>
    <col min="2" max="2" width="7.5703125" style="9" customWidth="1"/>
    <col min="3" max="3" width="11.42578125" style="9" customWidth="1"/>
    <col min="4" max="4" width="9.5703125" style="9" customWidth="1"/>
    <col min="5" max="5" width="10.7109375" style="9" customWidth="1"/>
    <col min="6" max="6" width="11.140625" style="9" customWidth="1"/>
    <col min="7" max="16384" width="9.140625" style="9"/>
  </cols>
  <sheetData>
    <row r="1" spans="1:8">
      <c r="A1" s="110"/>
      <c r="B1" s="111" t="s">
        <v>208</v>
      </c>
      <c r="C1" s="1878" t="s">
        <v>1852</v>
      </c>
      <c r="D1" s="1879"/>
      <c r="E1" s="1879"/>
      <c r="F1" s="1879"/>
      <c r="G1" s="1879"/>
      <c r="H1" s="1879"/>
    </row>
    <row r="2" spans="1:8">
      <c r="A2" s="110"/>
      <c r="B2" s="111" t="s">
        <v>209</v>
      </c>
      <c r="C2" s="1878">
        <v>17878735</v>
      </c>
      <c r="D2" s="1879"/>
      <c r="E2" s="1879"/>
      <c r="F2" s="1879"/>
      <c r="G2" s="1879"/>
      <c r="H2" s="1879"/>
    </row>
    <row r="3" spans="1:8">
      <c r="A3" s="110"/>
      <c r="B3" s="111" t="s">
        <v>211</v>
      </c>
      <c r="C3" s="1878" t="s">
        <v>1880</v>
      </c>
      <c r="D3" s="1879"/>
      <c r="E3" s="1879"/>
      <c r="F3" s="1879"/>
      <c r="G3" s="1879"/>
      <c r="H3" s="1879"/>
    </row>
    <row r="4" spans="1:8" ht="14.25">
      <c r="A4" s="110"/>
      <c r="B4" s="111" t="s">
        <v>210</v>
      </c>
      <c r="C4" s="1882" t="s">
        <v>250</v>
      </c>
      <c r="D4" s="1883"/>
      <c r="E4" s="1883"/>
      <c r="F4" s="1883"/>
      <c r="G4" s="1883"/>
      <c r="H4" s="1883"/>
    </row>
    <row r="5" spans="1:8" ht="14.25">
      <c r="A5" s="1892" t="s">
        <v>247</v>
      </c>
      <c r="B5" s="1893"/>
      <c r="C5" s="1892" t="s">
        <v>248</v>
      </c>
      <c r="D5" s="1893"/>
      <c r="E5" s="382"/>
      <c r="F5" s="1892" t="s">
        <v>249</v>
      </c>
      <c r="G5" s="1893"/>
      <c r="H5" s="383"/>
    </row>
    <row r="6" spans="1:8" ht="51.75" customHeight="1">
      <c r="A6" s="384" t="s">
        <v>245</v>
      </c>
      <c r="B6" s="385" t="s">
        <v>246</v>
      </c>
      <c r="C6" s="386" t="s">
        <v>1881</v>
      </c>
      <c r="D6" s="386" t="s">
        <v>1819</v>
      </c>
      <c r="E6" s="290" t="s">
        <v>1872</v>
      </c>
      <c r="F6" s="386" t="s">
        <v>1881</v>
      </c>
      <c r="G6" s="386" t="s">
        <v>1819</v>
      </c>
      <c r="H6" s="290" t="s">
        <v>1872</v>
      </c>
    </row>
    <row r="7" spans="1:8" s="2" customFormat="1" ht="34.5" customHeight="1">
      <c r="A7" s="387" t="s">
        <v>2</v>
      </c>
      <c r="B7" s="384">
        <v>30</v>
      </c>
      <c r="C7" s="388">
        <v>1255</v>
      </c>
      <c r="D7" s="389">
        <v>551</v>
      </c>
      <c r="E7" s="390">
        <f>D7/C7*100</f>
        <v>43.904382470119522</v>
      </c>
      <c r="F7" s="391">
        <v>7160</v>
      </c>
      <c r="G7" s="389">
        <v>2993</v>
      </c>
      <c r="H7" s="390">
        <f>G7/F7*100</f>
        <v>41.80167597765363</v>
      </c>
    </row>
    <row r="8" spans="1:8" s="2" customFormat="1" ht="15" customHeight="1">
      <c r="A8" s="392" t="s">
        <v>99</v>
      </c>
      <c r="B8" s="384"/>
      <c r="C8" s="393"/>
      <c r="D8" s="394"/>
      <c r="E8" s="395"/>
      <c r="F8" s="396"/>
      <c r="G8" s="394"/>
      <c r="H8" s="395"/>
    </row>
    <row r="9" spans="1:8" s="2" customFormat="1">
      <c r="A9" s="392" t="s">
        <v>100</v>
      </c>
      <c r="B9" s="384"/>
      <c r="C9" s="393"/>
      <c r="D9" s="394"/>
      <c r="E9" s="395"/>
      <c r="F9" s="396"/>
      <c r="G9" s="394"/>
      <c r="H9" s="395"/>
    </row>
    <row r="10" spans="1:8" s="2" customFormat="1">
      <c r="A10" s="397" t="s">
        <v>101</v>
      </c>
      <c r="B10" s="384">
        <v>30</v>
      </c>
      <c r="C10" s="398">
        <v>1255</v>
      </c>
      <c r="D10" s="399">
        <v>551</v>
      </c>
      <c r="E10" s="395">
        <f t="shared" ref="E10" si="0">D10/C10*100</f>
        <v>43.904382470119522</v>
      </c>
      <c r="F10" s="400">
        <v>7160</v>
      </c>
      <c r="G10" s="399">
        <v>2993</v>
      </c>
      <c r="H10" s="395">
        <f t="shared" ref="H10" si="1">G10/F10*100</f>
        <v>41.80167597765363</v>
      </c>
    </row>
    <row r="11" spans="1:8" s="2" customFormat="1">
      <c r="A11" s="401" t="s">
        <v>102</v>
      </c>
      <c r="B11" s="384"/>
      <c r="C11" s="384"/>
      <c r="D11" s="394"/>
      <c r="E11" s="402"/>
      <c r="F11" s="384"/>
      <c r="G11" s="394"/>
      <c r="H11" s="395"/>
    </row>
    <row r="12" spans="1:8" s="2" customFormat="1">
      <c r="A12" s="155" t="s">
        <v>102</v>
      </c>
      <c r="B12" s="85"/>
      <c r="C12" s="85"/>
      <c r="D12" s="116"/>
      <c r="E12" s="85"/>
      <c r="F12" s="116"/>
    </row>
  </sheetData>
  <mergeCells count="7">
    <mergeCell ref="C1:H1"/>
    <mergeCell ref="C2:H2"/>
    <mergeCell ref="C3:H3"/>
    <mergeCell ref="C4:H4"/>
    <mergeCell ref="A5:B5"/>
    <mergeCell ref="C5:D5"/>
    <mergeCell ref="F5:G5"/>
  </mergeCells>
  <phoneticPr fontId="10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6"/>
  <sheetViews>
    <sheetView view="pageBreakPreview" topLeftCell="A304" zoomScaleSheetLayoutView="100" workbookViewId="0">
      <selection activeCell="E281" sqref="E281"/>
    </sheetView>
  </sheetViews>
  <sheetFormatPr defaultRowHeight="12.75"/>
  <cols>
    <col min="1" max="1" width="13.140625" style="80" customWidth="1"/>
    <col min="2" max="2" width="20" style="80" customWidth="1"/>
    <col min="3" max="8" width="8.7109375" style="80" customWidth="1"/>
    <col min="9" max="16384" width="9.140625" style="80"/>
  </cols>
  <sheetData>
    <row r="1" spans="1:11">
      <c r="A1" s="110"/>
      <c r="B1" s="111" t="s">
        <v>208</v>
      </c>
      <c r="C1" s="1839" t="s">
        <v>1852</v>
      </c>
      <c r="D1" s="1840"/>
      <c r="E1" s="1840"/>
      <c r="F1" s="1840"/>
      <c r="G1" s="1840"/>
      <c r="H1" s="1840"/>
      <c r="I1" s="1840"/>
      <c r="J1" s="1840"/>
      <c r="K1" s="1840"/>
    </row>
    <row r="2" spans="1:11">
      <c r="A2" s="110"/>
      <c r="B2" s="111" t="s">
        <v>209</v>
      </c>
      <c r="C2" s="1839">
        <v>17878735</v>
      </c>
      <c r="D2" s="1840"/>
      <c r="E2" s="1840"/>
      <c r="F2" s="1840"/>
      <c r="G2" s="1840"/>
      <c r="H2" s="1840"/>
      <c r="I2" s="1840"/>
      <c r="J2" s="1840"/>
      <c r="K2" s="1840"/>
    </row>
    <row r="3" spans="1:11">
      <c r="A3" s="110"/>
      <c r="B3" s="111" t="s">
        <v>211</v>
      </c>
      <c r="C3" s="1839">
        <v>2018</v>
      </c>
      <c r="D3" s="1840"/>
      <c r="E3" s="1840"/>
      <c r="F3" s="1840"/>
      <c r="G3" s="1840"/>
      <c r="H3" s="1840"/>
      <c r="I3" s="1840"/>
      <c r="J3" s="1840"/>
      <c r="K3" s="1840"/>
    </row>
    <row r="4" spans="1:11" ht="14.25">
      <c r="A4" s="110"/>
      <c r="B4" s="111" t="s">
        <v>210</v>
      </c>
      <c r="C4" s="1830" t="s">
        <v>254</v>
      </c>
      <c r="D4" s="1831"/>
      <c r="E4" s="1831"/>
      <c r="F4" s="1831"/>
      <c r="G4" s="1831"/>
      <c r="H4" s="1831"/>
      <c r="I4" s="1831"/>
      <c r="J4" s="1831"/>
      <c r="K4" s="1831"/>
    </row>
    <row r="5" spans="1:11" ht="19.5">
      <c r="A5" s="110"/>
      <c r="B5" s="111" t="s">
        <v>251</v>
      </c>
      <c r="C5" s="1910" t="s">
        <v>1882</v>
      </c>
      <c r="D5" s="1911"/>
      <c r="E5" s="1911"/>
      <c r="F5" s="1911"/>
      <c r="G5" s="1911"/>
      <c r="H5" s="1911"/>
      <c r="I5" s="1911"/>
      <c r="J5" s="1911"/>
      <c r="K5" s="1911"/>
    </row>
    <row r="6" spans="1:11">
      <c r="A6" s="1884" t="s">
        <v>55</v>
      </c>
      <c r="B6" s="1896" t="s">
        <v>256</v>
      </c>
      <c r="C6" s="1897" t="s">
        <v>262</v>
      </c>
      <c r="D6" s="1898"/>
      <c r="E6" s="1899"/>
      <c r="F6" s="1897" t="s">
        <v>263</v>
      </c>
      <c r="G6" s="1898"/>
      <c r="H6" s="1899"/>
      <c r="I6" s="1897" t="s">
        <v>90</v>
      </c>
      <c r="J6" s="1898"/>
      <c r="K6" s="1899"/>
    </row>
    <row r="7" spans="1:11" ht="21.75" customHeight="1">
      <c r="A7" s="1895"/>
      <c r="B7" s="1895"/>
      <c r="C7" s="403" t="s">
        <v>368</v>
      </c>
      <c r="D7" s="404" t="s">
        <v>1813</v>
      </c>
      <c r="E7" s="405" t="s">
        <v>1872</v>
      </c>
      <c r="F7" s="403" t="s">
        <v>368</v>
      </c>
      <c r="G7" s="404" t="s">
        <v>1813</v>
      </c>
      <c r="H7" s="405" t="s">
        <v>1872</v>
      </c>
      <c r="I7" s="403" t="s">
        <v>368</v>
      </c>
      <c r="J7" s="403" t="s">
        <v>1813</v>
      </c>
      <c r="K7" s="405" t="s">
        <v>1872</v>
      </c>
    </row>
    <row r="8" spans="1:11" ht="32.25" customHeight="1">
      <c r="A8" s="406"/>
      <c r="B8" s="407" t="s">
        <v>1882</v>
      </c>
      <c r="C8" s="1907"/>
      <c r="D8" s="1908"/>
      <c r="E8" s="1908"/>
      <c r="F8" s="1908"/>
      <c r="G8" s="1908"/>
      <c r="H8" s="1908"/>
      <c r="I8" s="1908"/>
      <c r="J8" s="1908"/>
      <c r="K8" s="1909"/>
    </row>
    <row r="9" spans="1:11" ht="11.1" customHeight="1">
      <c r="A9" s="408" t="s">
        <v>171</v>
      </c>
      <c r="B9" s="409" t="s">
        <v>174</v>
      </c>
      <c r="C9" s="410">
        <v>3120</v>
      </c>
      <c r="D9" s="411">
        <v>1750</v>
      </c>
      <c r="E9" s="412">
        <f>D9/C9*100</f>
        <v>56.089743589743591</v>
      </c>
      <c r="F9" s="413"/>
      <c r="G9" s="411"/>
      <c r="H9" s="412" t="e">
        <f>G9/F9*100</f>
        <v>#DIV/0!</v>
      </c>
      <c r="I9" s="413">
        <f>C9+F9</f>
        <v>3120</v>
      </c>
      <c r="J9" s="414">
        <f>D9+G9</f>
        <v>1750</v>
      </c>
      <c r="K9" s="412">
        <f>J9/I9*100</f>
        <v>56.089743589743591</v>
      </c>
    </row>
    <row r="10" spans="1:11" ht="11.1" customHeight="1">
      <c r="A10" s="408" t="s">
        <v>172</v>
      </c>
      <c r="B10" s="415" t="s">
        <v>1883</v>
      </c>
      <c r="C10" s="410">
        <v>2035</v>
      </c>
      <c r="D10" s="411">
        <v>1166</v>
      </c>
      <c r="E10" s="412">
        <f t="shared" ref="E10:E15" si="0">D10/C10*100</f>
        <v>57.297297297297298</v>
      </c>
      <c r="F10" s="413"/>
      <c r="G10" s="411"/>
      <c r="H10" s="412"/>
      <c r="I10" s="413">
        <f>C10+F10</f>
        <v>2035</v>
      </c>
      <c r="J10" s="414">
        <f>G10+D10</f>
        <v>1166</v>
      </c>
      <c r="K10" s="412">
        <f t="shared" ref="K10:K15" si="1">J10/I10*100</f>
        <v>57.297297297297298</v>
      </c>
    </row>
    <row r="11" spans="1:11" ht="11.1" customHeight="1">
      <c r="A11" s="416" t="s">
        <v>1884</v>
      </c>
      <c r="B11" s="417" t="s">
        <v>1885</v>
      </c>
      <c r="C11" s="410">
        <v>5</v>
      </c>
      <c r="D11" s="411"/>
      <c r="E11" s="412">
        <f t="shared" si="0"/>
        <v>0</v>
      </c>
      <c r="F11" s="413"/>
      <c r="G11" s="411"/>
      <c r="H11" s="412"/>
      <c r="I11" s="413">
        <f t="shared" ref="I11:I15" si="2">C11+F11</f>
        <v>5</v>
      </c>
      <c r="J11" s="414">
        <f t="shared" ref="J11:J14" si="3">G11+D11</f>
        <v>0</v>
      </c>
      <c r="K11" s="412">
        <f t="shared" si="1"/>
        <v>0</v>
      </c>
    </row>
    <row r="12" spans="1:11" ht="11.1" customHeight="1">
      <c r="A12" s="416" t="s">
        <v>1886</v>
      </c>
      <c r="B12" s="417" t="s">
        <v>1887</v>
      </c>
      <c r="C12" s="418">
        <v>95</v>
      </c>
      <c r="D12" s="411"/>
      <c r="E12" s="412">
        <f t="shared" si="0"/>
        <v>0</v>
      </c>
      <c r="F12" s="413"/>
      <c r="G12" s="411"/>
      <c r="H12" s="412"/>
      <c r="I12" s="413">
        <f t="shared" si="2"/>
        <v>95</v>
      </c>
      <c r="J12" s="414">
        <f t="shared" si="3"/>
        <v>0</v>
      </c>
      <c r="K12" s="412">
        <f t="shared" si="1"/>
        <v>0</v>
      </c>
    </row>
    <row r="13" spans="1:11" ht="11.1" customHeight="1">
      <c r="A13" s="408" t="s">
        <v>1888</v>
      </c>
      <c r="B13" s="419" t="s">
        <v>1889</v>
      </c>
      <c r="C13" s="413"/>
      <c r="D13" s="411"/>
      <c r="E13" s="412" t="e">
        <f t="shared" si="0"/>
        <v>#DIV/0!</v>
      </c>
      <c r="F13" s="420"/>
      <c r="G13" s="411"/>
      <c r="H13" s="412" t="e">
        <f t="shared" ref="H13:H14" si="4">G13/F13*100</f>
        <v>#DIV/0!</v>
      </c>
      <c r="I13" s="413">
        <f t="shared" si="2"/>
        <v>0</v>
      </c>
      <c r="J13" s="414">
        <f t="shared" si="3"/>
        <v>0</v>
      </c>
      <c r="K13" s="412" t="e">
        <f t="shared" si="1"/>
        <v>#DIV/0!</v>
      </c>
    </row>
    <row r="14" spans="1:11" s="86" customFormat="1" ht="11.1" customHeight="1">
      <c r="A14" s="421" t="s">
        <v>1890</v>
      </c>
      <c r="B14" s="422" t="s">
        <v>1891</v>
      </c>
      <c r="C14" s="413"/>
      <c r="D14" s="411">
        <v>363</v>
      </c>
      <c r="E14" s="412" t="e">
        <f t="shared" si="0"/>
        <v>#DIV/0!</v>
      </c>
      <c r="F14" s="413">
        <v>1400</v>
      </c>
      <c r="G14" s="411">
        <v>466</v>
      </c>
      <c r="H14" s="412">
        <f t="shared" si="4"/>
        <v>33.285714285714285</v>
      </c>
      <c r="I14" s="413">
        <f t="shared" si="2"/>
        <v>1400</v>
      </c>
      <c r="J14" s="414">
        <f t="shared" si="3"/>
        <v>829</v>
      </c>
      <c r="K14" s="412">
        <f t="shared" si="1"/>
        <v>59.214285714285722</v>
      </c>
    </row>
    <row r="15" spans="1:11" s="86" customFormat="1" ht="11.1" customHeight="1">
      <c r="A15" s="406"/>
      <c r="B15" s="423" t="s">
        <v>2</v>
      </c>
      <c r="C15" s="420">
        <f>SUM(C9:C14)</f>
        <v>5255</v>
      </c>
      <c r="D15" s="411">
        <f>SUM(D9:D14)</f>
        <v>3279</v>
      </c>
      <c r="E15" s="424">
        <f t="shared" si="0"/>
        <v>62.397716460513799</v>
      </c>
      <c r="F15" s="411">
        <f t="shared" ref="F15:G15" si="5">SUM(F10:F14)</f>
        <v>1400</v>
      </c>
      <c r="G15" s="411">
        <f t="shared" si="5"/>
        <v>466</v>
      </c>
      <c r="H15" s="424">
        <f>G15/F15*100</f>
        <v>33.285714285714285</v>
      </c>
      <c r="I15" s="413">
        <f t="shared" si="2"/>
        <v>6655</v>
      </c>
      <c r="J15" s="411">
        <f>SUM(J9:J14)</f>
        <v>3745</v>
      </c>
      <c r="K15" s="424">
        <f t="shared" si="1"/>
        <v>56.273478587528167</v>
      </c>
    </row>
    <row r="16" spans="1:11" s="86" customFormat="1" ht="12.75" customHeight="1">
      <c r="A16" s="110"/>
      <c r="B16" s="111" t="s">
        <v>208</v>
      </c>
      <c r="C16" s="1839" t="s">
        <v>1852</v>
      </c>
      <c r="D16" s="1840"/>
      <c r="E16" s="1840"/>
      <c r="F16" s="1840"/>
      <c r="G16" s="1840"/>
      <c r="H16" s="1840"/>
      <c r="I16" s="1840"/>
      <c r="J16" s="1840"/>
      <c r="K16" s="1840"/>
    </row>
    <row r="17" spans="1:11" s="86" customFormat="1">
      <c r="A17" s="110"/>
      <c r="B17" s="111" t="s">
        <v>209</v>
      </c>
      <c r="C17" s="1839">
        <v>17878735</v>
      </c>
      <c r="D17" s="1840"/>
      <c r="E17" s="1840"/>
      <c r="F17" s="1840"/>
      <c r="G17" s="1840"/>
      <c r="H17" s="1840"/>
      <c r="I17" s="1840"/>
      <c r="J17" s="1840"/>
      <c r="K17" s="1840"/>
    </row>
    <row r="18" spans="1:11" s="86" customFormat="1">
      <c r="A18" s="110"/>
      <c r="B18" s="111" t="s">
        <v>211</v>
      </c>
      <c r="C18" s="1839">
        <v>2018</v>
      </c>
      <c r="D18" s="1840"/>
      <c r="E18" s="1840"/>
      <c r="F18" s="1840"/>
      <c r="G18" s="1840"/>
      <c r="H18" s="1840"/>
      <c r="I18" s="1840"/>
      <c r="J18" s="1840"/>
      <c r="K18" s="1840"/>
    </row>
    <row r="19" spans="1:11" s="86" customFormat="1" ht="27" customHeight="1">
      <c r="A19" s="110"/>
      <c r="B19" s="111" t="s">
        <v>210</v>
      </c>
      <c r="C19" s="1830" t="s">
        <v>254</v>
      </c>
      <c r="D19" s="1831"/>
      <c r="E19" s="1831"/>
      <c r="F19" s="1831"/>
      <c r="G19" s="1831"/>
      <c r="H19" s="1831"/>
      <c r="I19" s="1831"/>
      <c r="J19" s="1831"/>
      <c r="K19" s="1831"/>
    </row>
    <row r="20" spans="1:11" s="86" customFormat="1" ht="55.5" customHeight="1">
      <c r="A20" s="110"/>
      <c r="B20" s="111" t="s">
        <v>251</v>
      </c>
      <c r="C20" s="1900" t="s">
        <v>1892</v>
      </c>
      <c r="D20" s="1901"/>
      <c r="E20" s="1901"/>
      <c r="F20" s="1901"/>
      <c r="G20" s="1901"/>
      <c r="H20" s="1901"/>
      <c r="I20" s="1901"/>
      <c r="J20" s="1901"/>
      <c r="K20" s="1901"/>
    </row>
    <row r="21" spans="1:11">
      <c r="A21" s="1884" t="s">
        <v>55</v>
      </c>
      <c r="B21" s="1896" t="s">
        <v>256</v>
      </c>
      <c r="C21" s="1897" t="s">
        <v>262</v>
      </c>
      <c r="D21" s="1898"/>
      <c r="E21" s="1899"/>
      <c r="F21" s="1897" t="s">
        <v>263</v>
      </c>
      <c r="G21" s="1898"/>
      <c r="H21" s="1899"/>
      <c r="I21" s="1897" t="s">
        <v>90</v>
      </c>
      <c r="J21" s="1898"/>
      <c r="K21" s="1899"/>
    </row>
    <row r="22" spans="1:11" s="87" customFormat="1" ht="33.75" customHeight="1">
      <c r="A22" s="1895"/>
      <c r="B22" s="1895"/>
      <c r="C22" s="403" t="s">
        <v>368</v>
      </c>
      <c r="D22" s="404" t="s">
        <v>1813</v>
      </c>
      <c r="E22" s="405" t="s">
        <v>1872</v>
      </c>
      <c r="F22" s="403" t="s">
        <v>368</v>
      </c>
      <c r="G22" s="404" t="s">
        <v>1813</v>
      </c>
      <c r="H22" s="405" t="s">
        <v>1872</v>
      </c>
      <c r="I22" s="403" t="s">
        <v>368</v>
      </c>
      <c r="J22" s="403" t="s">
        <v>1813</v>
      </c>
      <c r="K22" s="405" t="s">
        <v>1872</v>
      </c>
    </row>
    <row r="23" spans="1:11" ht="48">
      <c r="A23" s="406"/>
      <c r="B23" s="425" t="s">
        <v>1892</v>
      </c>
      <c r="C23" s="1907"/>
      <c r="D23" s="1908"/>
      <c r="E23" s="1908"/>
      <c r="F23" s="1908"/>
      <c r="G23" s="1908"/>
      <c r="H23" s="1908"/>
      <c r="I23" s="1908"/>
      <c r="J23" s="1908"/>
      <c r="K23" s="1909"/>
    </row>
    <row r="24" spans="1:11" ht="11.1" customHeight="1">
      <c r="A24" s="408" t="s">
        <v>171</v>
      </c>
      <c r="B24" s="426" t="s">
        <v>174</v>
      </c>
      <c r="C24" s="414">
        <v>5545</v>
      </c>
      <c r="D24" s="411">
        <v>2647</v>
      </c>
      <c r="E24" s="412">
        <f>D24/C24*100</f>
        <v>47.73669972948602</v>
      </c>
      <c r="F24" s="414">
        <v>1700</v>
      </c>
      <c r="G24" s="411">
        <v>551</v>
      </c>
      <c r="H24" s="412">
        <f>G24/F24*100</f>
        <v>32.411764705882348</v>
      </c>
      <c r="I24" s="414">
        <v>7245</v>
      </c>
      <c r="J24" s="414">
        <f>D24+G24</f>
        <v>3198</v>
      </c>
      <c r="K24" s="412">
        <f>J24/I24*100</f>
        <v>44.140786749482402</v>
      </c>
    </row>
    <row r="25" spans="1:11" ht="11.1" customHeight="1">
      <c r="A25" s="408" t="s">
        <v>172</v>
      </c>
      <c r="B25" s="422" t="s">
        <v>173</v>
      </c>
      <c r="C25" s="414">
        <v>875</v>
      </c>
      <c r="D25" s="411">
        <v>456</v>
      </c>
      <c r="E25" s="412">
        <f t="shared" ref="E25:E29" si="6">D25/C25*100</f>
        <v>52.114285714285714</v>
      </c>
      <c r="F25" s="414">
        <v>420</v>
      </c>
      <c r="G25" s="411"/>
      <c r="H25" s="412">
        <f t="shared" ref="H25:H29" si="7">G25/F25*100</f>
        <v>0</v>
      </c>
      <c r="I25" s="414">
        <v>1295</v>
      </c>
      <c r="J25" s="414">
        <f t="shared" ref="J25:J28" si="8">D25+G25</f>
        <v>456</v>
      </c>
      <c r="K25" s="412">
        <f t="shared" ref="K25:K29" si="9">J25/I25*100</f>
        <v>35.212355212355213</v>
      </c>
    </row>
    <row r="26" spans="1:11" ht="11.1" customHeight="1">
      <c r="A26" s="408" t="s">
        <v>1893</v>
      </c>
      <c r="B26" s="426" t="s">
        <v>1894</v>
      </c>
      <c r="C26" s="414">
        <v>80</v>
      </c>
      <c r="D26" s="411">
        <f>4+4+3+3+1+4</f>
        <v>19</v>
      </c>
      <c r="E26" s="412">
        <f t="shared" si="6"/>
        <v>23.75</v>
      </c>
      <c r="F26" s="414"/>
      <c r="G26" s="411"/>
      <c r="H26" s="412" t="e">
        <f t="shared" si="7"/>
        <v>#DIV/0!</v>
      </c>
      <c r="I26" s="414">
        <v>80</v>
      </c>
      <c r="J26" s="414">
        <f t="shared" si="8"/>
        <v>19</v>
      </c>
      <c r="K26" s="412">
        <f t="shared" si="9"/>
        <v>23.75</v>
      </c>
    </row>
    <row r="27" spans="1:11" ht="11.1" customHeight="1">
      <c r="A27" s="408" t="s">
        <v>1888</v>
      </c>
      <c r="B27" s="419" t="s">
        <v>1889</v>
      </c>
      <c r="C27" s="414"/>
      <c r="D27" s="411"/>
      <c r="E27" s="412" t="e">
        <f t="shared" si="6"/>
        <v>#DIV/0!</v>
      </c>
      <c r="F27" s="414"/>
      <c r="G27" s="411"/>
      <c r="H27" s="412" t="e">
        <f t="shared" si="7"/>
        <v>#DIV/0!</v>
      </c>
      <c r="I27" s="414"/>
      <c r="J27" s="414">
        <f t="shared" si="8"/>
        <v>0</v>
      </c>
      <c r="K27" s="412" t="e">
        <f t="shared" si="9"/>
        <v>#DIV/0!</v>
      </c>
    </row>
    <row r="28" spans="1:11" ht="11.1" customHeight="1">
      <c r="A28" s="427" t="s">
        <v>1890</v>
      </c>
      <c r="B28" s="422" t="s">
        <v>1891</v>
      </c>
      <c r="C28" s="414">
        <v>25</v>
      </c>
      <c r="D28" s="411">
        <v>18</v>
      </c>
      <c r="E28" s="412">
        <f t="shared" si="6"/>
        <v>72</v>
      </c>
      <c r="F28" s="414">
        <v>5</v>
      </c>
      <c r="G28" s="411">
        <v>0</v>
      </c>
      <c r="H28" s="412">
        <f t="shared" si="7"/>
        <v>0</v>
      </c>
      <c r="I28" s="414">
        <v>30</v>
      </c>
      <c r="J28" s="414">
        <f t="shared" si="8"/>
        <v>18</v>
      </c>
      <c r="K28" s="412">
        <f t="shared" si="9"/>
        <v>60</v>
      </c>
    </row>
    <row r="29" spans="1:11" ht="11.1" customHeight="1">
      <c r="A29" s="406"/>
      <c r="B29" s="428" t="s">
        <v>2</v>
      </c>
      <c r="C29" s="411">
        <f>SUM(C24:C28)</f>
        <v>6525</v>
      </c>
      <c r="D29" s="411">
        <f>SUM(D24:D28)</f>
        <v>3140</v>
      </c>
      <c r="E29" s="424">
        <f t="shared" si="6"/>
        <v>48.122605363984675</v>
      </c>
      <c r="F29" s="411">
        <f t="shared" ref="F29:J29" si="10">SUM(F24:F28)</f>
        <v>2125</v>
      </c>
      <c r="G29" s="411">
        <f t="shared" si="10"/>
        <v>551</v>
      </c>
      <c r="H29" s="424">
        <f t="shared" si="7"/>
        <v>25.929411764705883</v>
      </c>
      <c r="I29" s="411">
        <f t="shared" si="10"/>
        <v>8650</v>
      </c>
      <c r="J29" s="411">
        <f t="shared" si="10"/>
        <v>3691</v>
      </c>
      <c r="K29" s="424">
        <f t="shared" si="9"/>
        <v>42.670520231213871</v>
      </c>
    </row>
    <row r="30" spans="1:11" ht="11.1" customHeight="1">
      <c r="A30" s="110"/>
      <c r="B30" s="111" t="s">
        <v>208</v>
      </c>
      <c r="C30" s="1839" t="s">
        <v>1852</v>
      </c>
      <c r="D30" s="1840"/>
      <c r="E30" s="1840"/>
      <c r="F30" s="1840"/>
      <c r="G30" s="1840"/>
      <c r="H30" s="1840"/>
      <c r="I30" s="1840"/>
      <c r="J30" s="1840"/>
      <c r="K30" s="1840"/>
    </row>
    <row r="31" spans="1:11" ht="11.1" customHeight="1">
      <c r="A31" s="110"/>
      <c r="B31" s="111" t="s">
        <v>209</v>
      </c>
      <c r="C31" s="1839">
        <v>17878735</v>
      </c>
      <c r="D31" s="1840"/>
      <c r="E31" s="1840"/>
      <c r="F31" s="1840"/>
      <c r="G31" s="1840"/>
      <c r="H31" s="1840"/>
      <c r="I31" s="1840"/>
      <c r="J31" s="1840"/>
      <c r="K31" s="1840"/>
    </row>
    <row r="32" spans="1:11" ht="11.1" customHeight="1">
      <c r="A32" s="110"/>
      <c r="B32" s="111" t="s">
        <v>211</v>
      </c>
      <c r="C32" s="1839">
        <v>2018</v>
      </c>
      <c r="D32" s="1840"/>
      <c r="E32" s="1840"/>
      <c r="F32" s="1840"/>
      <c r="G32" s="1840"/>
      <c r="H32" s="1840"/>
      <c r="I32" s="1840"/>
      <c r="J32" s="1840"/>
      <c r="K32" s="1840"/>
    </row>
    <row r="33" spans="1:11" ht="11.1" customHeight="1">
      <c r="A33" s="110"/>
      <c r="B33" s="111" t="s">
        <v>210</v>
      </c>
      <c r="C33" s="1830" t="s">
        <v>254</v>
      </c>
      <c r="D33" s="1831"/>
      <c r="E33" s="1831"/>
      <c r="F33" s="1831"/>
      <c r="G33" s="1831"/>
      <c r="H33" s="1831"/>
      <c r="I33" s="1831"/>
      <c r="J33" s="1831"/>
      <c r="K33" s="1831"/>
    </row>
    <row r="34" spans="1:11" ht="32.25" customHeight="1">
      <c r="A34" s="110"/>
      <c r="B34" s="111" t="s">
        <v>251</v>
      </c>
      <c r="C34" s="1900" t="s">
        <v>1833</v>
      </c>
      <c r="D34" s="1901"/>
      <c r="E34" s="1901"/>
      <c r="F34" s="1901"/>
      <c r="G34" s="1901"/>
      <c r="H34" s="1901"/>
      <c r="I34" s="1901"/>
      <c r="J34" s="1901"/>
      <c r="K34" s="1901"/>
    </row>
    <row r="35" spans="1:11" ht="11.1" customHeight="1">
      <c r="A35" s="1884" t="s">
        <v>55</v>
      </c>
      <c r="B35" s="1896" t="s">
        <v>256</v>
      </c>
      <c r="C35" s="1897" t="s">
        <v>262</v>
      </c>
      <c r="D35" s="1898"/>
      <c r="E35" s="1899"/>
      <c r="F35" s="1897" t="s">
        <v>263</v>
      </c>
      <c r="G35" s="1898"/>
      <c r="H35" s="1899"/>
      <c r="I35" s="1897" t="s">
        <v>90</v>
      </c>
      <c r="J35" s="1898"/>
      <c r="K35" s="1899"/>
    </row>
    <row r="36" spans="1:11" ht="11.1" customHeight="1">
      <c r="A36" s="1895"/>
      <c r="B36" s="1895"/>
      <c r="C36" s="403" t="s">
        <v>368</v>
      </c>
      <c r="D36" s="404" t="s">
        <v>1813</v>
      </c>
      <c r="E36" s="405" t="s">
        <v>1872</v>
      </c>
      <c r="F36" s="403" t="s">
        <v>368</v>
      </c>
      <c r="G36" s="404" t="s">
        <v>1813</v>
      </c>
      <c r="H36" s="405" t="s">
        <v>1872</v>
      </c>
      <c r="I36" s="403" t="s">
        <v>368</v>
      </c>
      <c r="J36" s="403" t="s">
        <v>1813</v>
      </c>
      <c r="K36" s="405" t="s">
        <v>1872</v>
      </c>
    </row>
    <row r="37" spans="1:11" ht="11.1" customHeight="1">
      <c r="A37" s="406"/>
      <c r="B37" s="429" t="s">
        <v>1833</v>
      </c>
      <c r="C37" s="1907"/>
      <c r="D37" s="1908"/>
      <c r="E37" s="1908"/>
      <c r="F37" s="1908"/>
      <c r="G37" s="1908"/>
      <c r="H37" s="1908"/>
      <c r="I37" s="1908"/>
      <c r="J37" s="1908"/>
      <c r="K37" s="1909"/>
    </row>
    <row r="38" spans="1:11" ht="11.1" customHeight="1">
      <c r="A38" s="430" t="s">
        <v>171</v>
      </c>
      <c r="B38" s="431" t="s">
        <v>174</v>
      </c>
      <c r="C38" s="414">
        <v>1790</v>
      </c>
      <c r="D38" s="411">
        <f>151+131+166+166+212+212</f>
        <v>1038</v>
      </c>
      <c r="E38" s="412">
        <f>D38/C38*100</f>
        <v>57.988826815642454</v>
      </c>
      <c r="F38" s="414"/>
      <c r="G38" s="411"/>
      <c r="H38" s="412" t="e">
        <f>G38/F38*100</f>
        <v>#DIV/0!</v>
      </c>
      <c r="I38" s="414">
        <f>C38+F38</f>
        <v>1790</v>
      </c>
      <c r="J38" s="414">
        <f>G38+D38</f>
        <v>1038</v>
      </c>
      <c r="K38" s="412">
        <f>J38/I38*100</f>
        <v>57.988826815642454</v>
      </c>
    </row>
    <row r="39" spans="1:11" ht="11.1" customHeight="1">
      <c r="A39" s="430" t="s">
        <v>172</v>
      </c>
      <c r="B39" s="431" t="s">
        <v>1895</v>
      </c>
      <c r="C39" s="414">
        <v>445</v>
      </c>
      <c r="D39" s="411">
        <f>37+46+46+51+78+77</f>
        <v>335</v>
      </c>
      <c r="E39" s="412">
        <f t="shared" ref="E39:E41" si="11">D39/C39*100</f>
        <v>75.280898876404493</v>
      </c>
      <c r="F39" s="414"/>
      <c r="G39" s="411"/>
      <c r="H39" s="412" t="e">
        <f t="shared" ref="H39:H42" si="12">G39/F39*100</f>
        <v>#DIV/0!</v>
      </c>
      <c r="I39" s="414">
        <f t="shared" ref="I39:I42" si="13">C39+F39</f>
        <v>445</v>
      </c>
      <c r="J39" s="414">
        <f t="shared" ref="J39:J41" si="14">G39+D39</f>
        <v>335</v>
      </c>
      <c r="K39" s="412">
        <f t="shared" ref="K39:K41" si="15">J39/I39*100</f>
        <v>75.280898876404493</v>
      </c>
    </row>
    <row r="40" spans="1:11" ht="11.1" customHeight="1">
      <c r="A40" s="416" t="s">
        <v>1888</v>
      </c>
      <c r="B40" s="417" t="s">
        <v>1889</v>
      </c>
      <c r="C40" s="414"/>
      <c r="D40" s="411"/>
      <c r="E40" s="412" t="e">
        <f t="shared" si="11"/>
        <v>#DIV/0!</v>
      </c>
      <c r="F40" s="414">
        <v>2</v>
      </c>
      <c r="G40" s="411"/>
      <c r="H40" s="412">
        <f t="shared" si="12"/>
        <v>0</v>
      </c>
      <c r="I40" s="414">
        <f t="shared" si="13"/>
        <v>2</v>
      </c>
      <c r="J40" s="414">
        <f t="shared" si="14"/>
        <v>0</v>
      </c>
      <c r="K40" s="412">
        <f t="shared" si="15"/>
        <v>0</v>
      </c>
    </row>
    <row r="41" spans="1:11" ht="11.1" customHeight="1">
      <c r="A41" s="432" t="s">
        <v>1890</v>
      </c>
      <c r="B41" s="433" t="s">
        <v>1891</v>
      </c>
      <c r="C41" s="414">
        <v>55</v>
      </c>
      <c r="D41" s="411"/>
      <c r="E41" s="412">
        <f t="shared" si="11"/>
        <v>0</v>
      </c>
      <c r="F41" s="414">
        <v>400</v>
      </c>
      <c r="G41" s="411">
        <f>26+22+39+31+21+34</f>
        <v>173</v>
      </c>
      <c r="H41" s="412">
        <f t="shared" si="12"/>
        <v>43.25</v>
      </c>
      <c r="I41" s="414">
        <f t="shared" si="13"/>
        <v>455</v>
      </c>
      <c r="J41" s="414">
        <f t="shared" si="14"/>
        <v>173</v>
      </c>
      <c r="K41" s="412">
        <f t="shared" si="15"/>
        <v>38.021978021978022</v>
      </c>
    </row>
    <row r="42" spans="1:11" ht="11.1" customHeight="1">
      <c r="A42" s="406"/>
      <c r="B42" s="434" t="s">
        <v>2</v>
      </c>
      <c r="C42" s="414">
        <f>SUM(C38:C41)</f>
        <v>2290</v>
      </c>
      <c r="D42" s="411">
        <f>SUM(D38:D41)</f>
        <v>1373</v>
      </c>
      <c r="E42" s="424">
        <f>D42/C42*100</f>
        <v>59.956331877729262</v>
      </c>
      <c r="F42" s="411">
        <f t="shared" ref="F42:J42" si="16">SUM(F38:F41)</f>
        <v>402</v>
      </c>
      <c r="G42" s="411">
        <f t="shared" si="16"/>
        <v>173</v>
      </c>
      <c r="H42" s="424">
        <f t="shared" si="12"/>
        <v>43.034825870646763</v>
      </c>
      <c r="I42" s="411">
        <f t="shared" si="13"/>
        <v>2692</v>
      </c>
      <c r="J42" s="411">
        <f t="shared" si="16"/>
        <v>1546</v>
      </c>
      <c r="K42" s="424">
        <f>J42/I42*100</f>
        <v>57.429420505200589</v>
      </c>
    </row>
    <row r="43" spans="1:11" ht="11.1" customHeight="1">
      <c r="A43" s="110"/>
      <c r="B43" s="111" t="s">
        <v>208</v>
      </c>
      <c r="C43" s="1839" t="s">
        <v>1852</v>
      </c>
      <c r="D43" s="1840"/>
      <c r="E43" s="1840"/>
      <c r="F43" s="1840"/>
      <c r="G43" s="1840"/>
      <c r="H43" s="1840"/>
      <c r="I43" s="1840"/>
      <c r="J43" s="1840"/>
      <c r="K43" s="1840"/>
    </row>
    <row r="44" spans="1:11" ht="11.1" customHeight="1">
      <c r="A44" s="110"/>
      <c r="B44" s="111" t="s">
        <v>209</v>
      </c>
      <c r="C44" s="1839">
        <v>17878735</v>
      </c>
      <c r="D44" s="1840"/>
      <c r="E44" s="1840"/>
      <c r="F44" s="1840"/>
      <c r="G44" s="1840"/>
      <c r="H44" s="1840"/>
      <c r="I44" s="1840"/>
      <c r="J44" s="1840"/>
      <c r="K44" s="1840"/>
    </row>
    <row r="45" spans="1:11" ht="11.1" customHeight="1">
      <c r="A45" s="110"/>
      <c r="B45" s="111" t="s">
        <v>211</v>
      </c>
      <c r="C45" s="1839">
        <v>2018</v>
      </c>
      <c r="D45" s="1840"/>
      <c r="E45" s="1840"/>
      <c r="F45" s="1840"/>
      <c r="G45" s="1840"/>
      <c r="H45" s="1840"/>
      <c r="I45" s="1840"/>
      <c r="J45" s="1840"/>
      <c r="K45" s="1840"/>
    </row>
    <row r="46" spans="1:11" ht="11.1" customHeight="1">
      <c r="A46" s="110"/>
      <c r="B46" s="111" t="s">
        <v>210</v>
      </c>
      <c r="C46" s="1830" t="s">
        <v>254</v>
      </c>
      <c r="D46" s="1831"/>
      <c r="E46" s="1831"/>
      <c r="F46" s="1831"/>
      <c r="G46" s="1831"/>
      <c r="H46" s="1831"/>
      <c r="I46" s="1831"/>
      <c r="J46" s="1831"/>
      <c r="K46" s="1831"/>
    </row>
    <row r="47" spans="1:11" ht="41.25" customHeight="1">
      <c r="A47" s="110"/>
      <c r="B47" s="111" t="s">
        <v>251</v>
      </c>
      <c r="C47" s="1900" t="s">
        <v>1896</v>
      </c>
      <c r="D47" s="1901"/>
      <c r="E47" s="1901"/>
      <c r="F47" s="1901"/>
      <c r="G47" s="1901"/>
      <c r="H47" s="1901"/>
      <c r="I47" s="1901"/>
      <c r="J47" s="1901"/>
      <c r="K47" s="1901"/>
    </row>
    <row r="48" spans="1:11" ht="11.1" customHeight="1">
      <c r="A48" s="1884" t="s">
        <v>55</v>
      </c>
      <c r="B48" s="1896" t="s">
        <v>256</v>
      </c>
      <c r="C48" s="1897" t="s">
        <v>262</v>
      </c>
      <c r="D48" s="1898"/>
      <c r="E48" s="1899"/>
      <c r="F48" s="1897" t="s">
        <v>263</v>
      </c>
      <c r="G48" s="1898"/>
      <c r="H48" s="1899"/>
      <c r="I48" s="1897" t="s">
        <v>90</v>
      </c>
      <c r="J48" s="1898"/>
      <c r="K48" s="1899"/>
    </row>
    <row r="49" spans="1:11" ht="11.1" customHeight="1">
      <c r="A49" s="1895"/>
      <c r="B49" s="1895"/>
      <c r="C49" s="403" t="s">
        <v>368</v>
      </c>
      <c r="D49" s="404" t="s">
        <v>1813</v>
      </c>
      <c r="E49" s="405" t="s">
        <v>1872</v>
      </c>
      <c r="F49" s="403" t="s">
        <v>368</v>
      </c>
      <c r="G49" s="404" t="s">
        <v>1813</v>
      </c>
      <c r="H49" s="405" t="s">
        <v>1872</v>
      </c>
      <c r="I49" s="403" t="s">
        <v>368</v>
      </c>
      <c r="J49" s="403" t="s">
        <v>1813</v>
      </c>
      <c r="K49" s="405" t="s">
        <v>1872</v>
      </c>
    </row>
    <row r="50" spans="1:11" ht="11.1" customHeight="1">
      <c r="A50" s="406"/>
      <c r="B50" s="434" t="s">
        <v>1896</v>
      </c>
      <c r="C50" s="1907"/>
      <c r="D50" s="1908"/>
      <c r="E50" s="1908"/>
      <c r="F50" s="1908"/>
      <c r="G50" s="1908"/>
      <c r="H50" s="1908"/>
      <c r="I50" s="1908"/>
      <c r="J50" s="1908"/>
      <c r="K50" s="1909"/>
    </row>
    <row r="51" spans="1:11" ht="11.1" customHeight="1">
      <c r="A51" s="430" t="s">
        <v>171</v>
      </c>
      <c r="B51" s="431" t="s">
        <v>174</v>
      </c>
      <c r="C51" s="414">
        <v>7210</v>
      </c>
      <c r="D51" s="411">
        <f>711+630+704+713+738+750</f>
        <v>4246</v>
      </c>
      <c r="E51" s="412">
        <f>D51/C51*100</f>
        <v>58.890429958391124</v>
      </c>
      <c r="F51" s="414">
        <v>170</v>
      </c>
      <c r="G51" s="411"/>
      <c r="H51" s="435">
        <f>G51/F51*100</f>
        <v>0</v>
      </c>
      <c r="I51" s="414">
        <f>F51+C51</f>
        <v>7380</v>
      </c>
      <c r="J51" s="414">
        <f>G51+D51</f>
        <v>4246</v>
      </c>
      <c r="K51" s="412">
        <f>J51/I51*100</f>
        <v>57.53387533875339</v>
      </c>
    </row>
    <row r="52" spans="1:11" ht="11.1" customHeight="1">
      <c r="A52" s="430" t="s">
        <v>172</v>
      </c>
      <c r="B52" s="431" t="s">
        <v>1895</v>
      </c>
      <c r="C52" s="414">
        <v>1610</v>
      </c>
      <c r="D52" s="411">
        <v>1314</v>
      </c>
      <c r="E52" s="412">
        <f t="shared" ref="E52:E55" si="17">D52/C52*100</f>
        <v>81.614906832298146</v>
      </c>
      <c r="F52" s="414">
        <v>1075</v>
      </c>
      <c r="G52" s="411"/>
      <c r="H52" s="435">
        <f t="shared" ref="H52:H55" si="18">G52/F52*100</f>
        <v>0</v>
      </c>
      <c r="I52" s="414">
        <f t="shared" ref="I52:J56" si="19">F52+C52</f>
        <v>2685</v>
      </c>
      <c r="J52" s="414">
        <f t="shared" si="19"/>
        <v>1314</v>
      </c>
      <c r="K52" s="412">
        <f t="shared" ref="K52:K55" si="20">J52/I52*100</f>
        <v>48.938547486033521</v>
      </c>
    </row>
    <row r="53" spans="1:11" ht="11.1" customHeight="1">
      <c r="A53" s="416" t="s">
        <v>1884</v>
      </c>
      <c r="B53" s="417" t="s">
        <v>1885</v>
      </c>
      <c r="C53" s="414">
        <v>1</v>
      </c>
      <c r="D53" s="411"/>
      <c r="E53" s="412"/>
      <c r="F53" s="414"/>
      <c r="G53" s="411"/>
      <c r="H53" s="435"/>
      <c r="I53" s="414">
        <f t="shared" si="19"/>
        <v>1</v>
      </c>
      <c r="J53" s="414"/>
      <c r="K53" s="412"/>
    </row>
    <row r="54" spans="1:11" ht="11.1" customHeight="1">
      <c r="A54" s="416" t="s">
        <v>1888</v>
      </c>
      <c r="B54" s="417" t="s">
        <v>1889</v>
      </c>
      <c r="C54" s="414"/>
      <c r="D54" s="411"/>
      <c r="E54" s="412"/>
      <c r="F54" s="414">
        <v>30</v>
      </c>
      <c r="G54" s="411"/>
      <c r="H54" s="435"/>
      <c r="I54" s="414">
        <f t="shared" si="19"/>
        <v>30</v>
      </c>
      <c r="J54" s="414"/>
      <c r="K54" s="412"/>
    </row>
    <row r="55" spans="1:11" ht="11.1" customHeight="1">
      <c r="A55" s="432" t="s">
        <v>1890</v>
      </c>
      <c r="B55" s="433" t="s">
        <v>1891</v>
      </c>
      <c r="C55" s="414">
        <v>460</v>
      </c>
      <c r="D55" s="411">
        <v>285</v>
      </c>
      <c r="E55" s="412">
        <f t="shared" si="17"/>
        <v>61.95652173913043</v>
      </c>
      <c r="F55" s="414">
        <v>1360</v>
      </c>
      <c r="G55" s="411">
        <v>861</v>
      </c>
      <c r="H55" s="435">
        <f t="shared" si="18"/>
        <v>63.308823529411761</v>
      </c>
      <c r="I55" s="414">
        <f t="shared" si="19"/>
        <v>1820</v>
      </c>
      <c r="J55" s="414">
        <f t="shared" si="19"/>
        <v>1146</v>
      </c>
      <c r="K55" s="412">
        <f t="shared" si="20"/>
        <v>62.967032967032964</v>
      </c>
    </row>
    <row r="56" spans="1:11" ht="11.1" customHeight="1">
      <c r="A56" s="406"/>
      <c r="B56" s="434" t="s">
        <v>2</v>
      </c>
      <c r="C56" s="414">
        <f>SUM(C51:C55)</f>
        <v>9281</v>
      </c>
      <c r="D56" s="411">
        <f>SUM(D51:D55)</f>
        <v>5845</v>
      </c>
      <c r="E56" s="424">
        <f>D56/C56*100</f>
        <v>62.978127356965842</v>
      </c>
      <c r="F56" s="411">
        <f>SUM(F51:F55)</f>
        <v>2635</v>
      </c>
      <c r="G56" s="411">
        <f>SUM(G51:G55)</f>
        <v>861</v>
      </c>
      <c r="H56" s="424">
        <f>G56/F56*100</f>
        <v>32.675521821631882</v>
      </c>
      <c r="I56" s="411">
        <f t="shared" si="19"/>
        <v>11916</v>
      </c>
      <c r="J56" s="411">
        <f>SUM(J51:J55)</f>
        <v>6706</v>
      </c>
      <c r="K56" s="424">
        <f>J56/I56*100</f>
        <v>56.27727425310507</v>
      </c>
    </row>
    <row r="57" spans="1:11" ht="11.1" customHeight="1">
      <c r="A57" s="110"/>
      <c r="B57" s="111" t="s">
        <v>208</v>
      </c>
      <c r="C57" s="1839" t="s">
        <v>1852</v>
      </c>
      <c r="D57" s="1840"/>
      <c r="E57" s="1840"/>
      <c r="F57" s="1840"/>
      <c r="G57" s="1840"/>
      <c r="H57" s="1840"/>
      <c r="I57" s="1840"/>
      <c r="J57" s="1840"/>
      <c r="K57" s="1840"/>
    </row>
    <row r="58" spans="1:11" ht="11.1" customHeight="1">
      <c r="A58" s="110"/>
      <c r="B58" s="111" t="s">
        <v>209</v>
      </c>
      <c r="C58" s="1839">
        <v>17878735</v>
      </c>
      <c r="D58" s="1840"/>
      <c r="E58" s="1840"/>
      <c r="F58" s="1840"/>
      <c r="G58" s="1840"/>
      <c r="H58" s="1840"/>
      <c r="I58" s="1840"/>
      <c r="J58" s="1840"/>
      <c r="K58" s="1840"/>
    </row>
    <row r="59" spans="1:11" ht="11.1" customHeight="1">
      <c r="A59" s="110"/>
      <c r="B59" s="111" t="s">
        <v>211</v>
      </c>
      <c r="C59" s="1839">
        <v>2018</v>
      </c>
      <c r="D59" s="1840"/>
      <c r="E59" s="1840"/>
      <c r="F59" s="1840"/>
      <c r="G59" s="1840"/>
      <c r="H59" s="1840"/>
      <c r="I59" s="1840"/>
      <c r="J59" s="1840"/>
      <c r="K59" s="1840"/>
    </row>
    <row r="60" spans="1:11" ht="11.1" customHeight="1">
      <c r="A60" s="110"/>
      <c r="B60" s="111" t="s">
        <v>210</v>
      </c>
      <c r="C60" s="1830" t="s">
        <v>254</v>
      </c>
      <c r="D60" s="1831"/>
      <c r="E60" s="1831"/>
      <c r="F60" s="1831"/>
      <c r="G60" s="1831"/>
      <c r="H60" s="1831"/>
      <c r="I60" s="1831"/>
      <c r="J60" s="1831"/>
      <c r="K60" s="1831"/>
    </row>
    <row r="61" spans="1:11" ht="36.75" customHeight="1">
      <c r="A61" s="110"/>
      <c r="B61" s="111" t="s">
        <v>251</v>
      </c>
      <c r="C61" s="1900" t="s">
        <v>1897</v>
      </c>
      <c r="D61" s="1901"/>
      <c r="E61" s="1901"/>
      <c r="F61" s="1901"/>
      <c r="G61" s="1901"/>
      <c r="H61" s="1901"/>
      <c r="I61" s="1901"/>
      <c r="J61" s="1901"/>
      <c r="K61" s="1901"/>
    </row>
    <row r="62" spans="1:11" ht="11.1" customHeight="1">
      <c r="A62" s="1884" t="s">
        <v>55</v>
      </c>
      <c r="B62" s="1896" t="s">
        <v>256</v>
      </c>
      <c r="C62" s="1897" t="s">
        <v>262</v>
      </c>
      <c r="D62" s="1898"/>
      <c r="E62" s="1899"/>
      <c r="F62" s="1897" t="s">
        <v>263</v>
      </c>
      <c r="G62" s="1898"/>
      <c r="H62" s="1899"/>
      <c r="I62" s="1897" t="s">
        <v>90</v>
      </c>
      <c r="J62" s="1898"/>
      <c r="K62" s="1899"/>
    </row>
    <row r="63" spans="1:11" ht="11.1" customHeight="1">
      <c r="A63" s="1895"/>
      <c r="B63" s="1895"/>
      <c r="C63" s="403" t="s">
        <v>368</v>
      </c>
      <c r="D63" s="404" t="s">
        <v>1813</v>
      </c>
      <c r="E63" s="405" t="s">
        <v>1872</v>
      </c>
      <c r="F63" s="403" t="s">
        <v>368</v>
      </c>
      <c r="G63" s="404" t="s">
        <v>1813</v>
      </c>
      <c r="H63" s="405" t="s">
        <v>1872</v>
      </c>
      <c r="I63" s="403" t="s">
        <v>368</v>
      </c>
      <c r="J63" s="403" t="s">
        <v>1813</v>
      </c>
      <c r="K63" s="405" t="s">
        <v>1872</v>
      </c>
    </row>
    <row r="64" spans="1:11" ht="11.1" customHeight="1">
      <c r="A64" s="430" t="s">
        <v>171</v>
      </c>
      <c r="B64" s="431" t="s">
        <v>174</v>
      </c>
      <c r="C64" s="414">
        <v>15500</v>
      </c>
      <c r="D64" s="411">
        <f>6669+872</f>
        <v>7541</v>
      </c>
      <c r="E64" s="412">
        <f>D64/C64*100</f>
        <v>48.651612903225804</v>
      </c>
      <c r="F64" s="414"/>
      <c r="G64" s="411"/>
      <c r="H64" s="412" t="e">
        <f>G64/F64*100</f>
        <v>#DIV/0!</v>
      </c>
      <c r="I64" s="414">
        <f>C64+F64</f>
        <v>15500</v>
      </c>
      <c r="J64" s="414">
        <f>G64+D64</f>
        <v>7541</v>
      </c>
      <c r="K64" s="412">
        <f>J64/I64*100</f>
        <v>48.651612903225804</v>
      </c>
    </row>
    <row r="65" spans="1:11" ht="11.1" customHeight="1">
      <c r="A65" s="408" t="s">
        <v>172</v>
      </c>
      <c r="B65" s="426" t="s">
        <v>173</v>
      </c>
      <c r="C65" s="414">
        <v>7575</v>
      </c>
      <c r="D65" s="411">
        <f>2974+1026</f>
        <v>4000</v>
      </c>
      <c r="E65" s="412">
        <f t="shared" ref="E65:E67" si="21">D65/C65*100</f>
        <v>52.805280528052798</v>
      </c>
      <c r="F65" s="414"/>
      <c r="G65" s="411"/>
      <c r="H65" s="412" t="e">
        <f t="shared" ref="H65:H67" si="22">G65/F65*100</f>
        <v>#DIV/0!</v>
      </c>
      <c r="I65" s="414">
        <f t="shared" ref="I65:I67" si="23">C65+F65</f>
        <v>7575</v>
      </c>
      <c r="J65" s="414">
        <f t="shared" ref="J65:J67" si="24">G65+D65</f>
        <v>4000</v>
      </c>
      <c r="K65" s="412">
        <f t="shared" ref="K65:K67" si="25">J65/I65*100</f>
        <v>52.805280528052798</v>
      </c>
    </row>
    <row r="66" spans="1:11" ht="11.1" customHeight="1">
      <c r="A66" s="416" t="s">
        <v>1884</v>
      </c>
      <c r="B66" s="417" t="s">
        <v>1885</v>
      </c>
      <c r="C66" s="414">
        <v>555</v>
      </c>
      <c r="D66" s="411"/>
      <c r="E66" s="412">
        <f t="shared" si="21"/>
        <v>0</v>
      </c>
      <c r="F66" s="414"/>
      <c r="G66" s="411"/>
      <c r="H66" s="412" t="e">
        <f t="shared" si="22"/>
        <v>#DIV/0!</v>
      </c>
      <c r="I66" s="414">
        <f t="shared" si="23"/>
        <v>555</v>
      </c>
      <c r="J66" s="414">
        <f t="shared" si="24"/>
        <v>0</v>
      </c>
      <c r="K66" s="412">
        <f t="shared" si="25"/>
        <v>0</v>
      </c>
    </row>
    <row r="67" spans="1:11" ht="11.1" customHeight="1">
      <c r="A67" s="436" t="s">
        <v>1890</v>
      </c>
      <c r="B67" s="437" t="s">
        <v>1891</v>
      </c>
      <c r="C67" s="414">
        <v>240</v>
      </c>
      <c r="D67" s="411">
        <v>240</v>
      </c>
      <c r="E67" s="412">
        <f t="shared" si="21"/>
        <v>100</v>
      </c>
      <c r="F67" s="414">
        <v>805</v>
      </c>
      <c r="G67" s="411">
        <v>482</v>
      </c>
      <c r="H67" s="412">
        <f t="shared" si="22"/>
        <v>59.875776397515523</v>
      </c>
      <c r="I67" s="414">
        <f t="shared" si="23"/>
        <v>1045</v>
      </c>
      <c r="J67" s="414">
        <f t="shared" si="24"/>
        <v>722</v>
      </c>
      <c r="K67" s="412">
        <f t="shared" si="25"/>
        <v>69.090909090909093</v>
      </c>
    </row>
    <row r="68" spans="1:11" ht="11.1" customHeight="1">
      <c r="A68" s="438"/>
      <c r="B68" s="434" t="s">
        <v>2</v>
      </c>
      <c r="C68" s="414">
        <f>SUM(C64:C67)</f>
        <v>23870</v>
      </c>
      <c r="D68" s="411">
        <f>SUM(D64:D67)</f>
        <v>11781</v>
      </c>
      <c r="E68" s="424">
        <f>D68/C68*100</f>
        <v>49.354838709677416</v>
      </c>
      <c r="F68" s="411">
        <f t="shared" ref="F68:J68" si="26">SUM(F64:F67)</f>
        <v>805</v>
      </c>
      <c r="G68" s="411">
        <f t="shared" si="26"/>
        <v>482</v>
      </c>
      <c r="H68" s="411" t="e">
        <f t="shared" si="26"/>
        <v>#DIV/0!</v>
      </c>
      <c r="I68" s="411">
        <f t="shared" si="26"/>
        <v>24675</v>
      </c>
      <c r="J68" s="411">
        <f t="shared" si="26"/>
        <v>12263</v>
      </c>
      <c r="K68" s="424">
        <f>J68/I68*100</f>
        <v>49.698074974670718</v>
      </c>
    </row>
    <row r="69" spans="1:11" ht="11.1" customHeight="1">
      <c r="A69" s="110"/>
      <c r="B69" s="111" t="s">
        <v>208</v>
      </c>
      <c r="C69" s="1839" t="s">
        <v>1852</v>
      </c>
      <c r="D69" s="1840"/>
      <c r="E69" s="1840"/>
      <c r="F69" s="1840"/>
      <c r="G69" s="1840"/>
      <c r="H69" s="1840"/>
      <c r="I69" s="1840"/>
      <c r="J69" s="1840"/>
      <c r="K69" s="1840"/>
    </row>
    <row r="70" spans="1:11" ht="11.1" customHeight="1">
      <c r="A70" s="110"/>
      <c r="B70" s="111" t="s">
        <v>209</v>
      </c>
      <c r="C70" s="1839">
        <v>17878735</v>
      </c>
      <c r="D70" s="1840"/>
      <c r="E70" s="1840"/>
      <c r="F70" s="1840"/>
      <c r="G70" s="1840"/>
      <c r="H70" s="1840"/>
      <c r="I70" s="1840"/>
      <c r="J70" s="1840"/>
      <c r="K70" s="1840"/>
    </row>
    <row r="71" spans="1:11" ht="11.1" customHeight="1">
      <c r="A71" s="110"/>
      <c r="B71" s="111" t="s">
        <v>211</v>
      </c>
      <c r="C71" s="1839">
        <v>2018</v>
      </c>
      <c r="D71" s="1840"/>
      <c r="E71" s="1840"/>
      <c r="F71" s="1840"/>
      <c r="G71" s="1840"/>
      <c r="H71" s="1840"/>
      <c r="I71" s="1840"/>
      <c r="J71" s="1840"/>
      <c r="K71" s="1840"/>
    </row>
    <row r="72" spans="1:11" ht="11.1" customHeight="1">
      <c r="A72" s="110"/>
      <c r="B72" s="111" t="s">
        <v>210</v>
      </c>
      <c r="C72" s="1830" t="s">
        <v>254</v>
      </c>
      <c r="D72" s="1831"/>
      <c r="E72" s="1831"/>
      <c r="F72" s="1831"/>
      <c r="G72" s="1831"/>
      <c r="H72" s="1831"/>
      <c r="I72" s="1831"/>
      <c r="J72" s="1831"/>
      <c r="K72" s="1831"/>
    </row>
    <row r="73" spans="1:11" ht="35.25" customHeight="1">
      <c r="A73" s="110"/>
      <c r="B73" s="111" t="s">
        <v>251</v>
      </c>
      <c r="C73" s="1900" t="s">
        <v>1898</v>
      </c>
      <c r="D73" s="1901"/>
      <c r="E73" s="1901"/>
      <c r="F73" s="1901"/>
      <c r="G73" s="1901"/>
      <c r="H73" s="1901"/>
      <c r="I73" s="1901"/>
      <c r="J73" s="1901"/>
      <c r="K73" s="1901"/>
    </row>
    <row r="74" spans="1:11" ht="11.1" customHeight="1">
      <c r="A74" s="1884" t="s">
        <v>55</v>
      </c>
      <c r="B74" s="1896" t="s">
        <v>256</v>
      </c>
      <c r="C74" s="1897" t="s">
        <v>262</v>
      </c>
      <c r="D74" s="1898"/>
      <c r="E74" s="1899"/>
      <c r="F74" s="1897" t="s">
        <v>263</v>
      </c>
      <c r="G74" s="1898"/>
      <c r="H74" s="1899"/>
      <c r="I74" s="1897" t="s">
        <v>90</v>
      </c>
      <c r="J74" s="1898"/>
      <c r="K74" s="1899"/>
    </row>
    <row r="75" spans="1:11" ht="11.1" customHeight="1">
      <c r="A75" s="1895"/>
      <c r="B75" s="1895"/>
      <c r="C75" s="403" t="s">
        <v>368</v>
      </c>
      <c r="D75" s="404" t="s">
        <v>1813</v>
      </c>
      <c r="E75" s="405" t="s">
        <v>1872</v>
      </c>
      <c r="F75" s="403" t="s">
        <v>368</v>
      </c>
      <c r="G75" s="404" t="s">
        <v>1813</v>
      </c>
      <c r="H75" s="405" t="s">
        <v>1872</v>
      </c>
      <c r="I75" s="403" t="s">
        <v>368</v>
      </c>
      <c r="J75" s="403" t="s">
        <v>1813</v>
      </c>
      <c r="K75" s="405" t="s">
        <v>1872</v>
      </c>
    </row>
    <row r="76" spans="1:11" ht="11.1" customHeight="1">
      <c r="A76" s="438"/>
      <c r="B76" s="407" t="s">
        <v>1899</v>
      </c>
      <c r="C76" s="414"/>
      <c r="D76" s="411"/>
      <c r="E76" s="412"/>
      <c r="F76" s="414"/>
      <c r="G76" s="411"/>
      <c r="H76" s="412"/>
      <c r="I76" s="414"/>
      <c r="J76" s="414"/>
      <c r="K76" s="412"/>
    </row>
    <row r="77" spans="1:11" ht="11.1" customHeight="1">
      <c r="A77" s="416" t="s">
        <v>1900</v>
      </c>
      <c r="B77" s="422" t="s">
        <v>1901</v>
      </c>
      <c r="C77" s="414">
        <v>7830</v>
      </c>
      <c r="D77" s="411">
        <f>927+658+974+796+822+575</f>
        <v>4752</v>
      </c>
      <c r="E77" s="412">
        <f>D77/C77*100</f>
        <v>60.689655172413794</v>
      </c>
      <c r="F77" s="414">
        <v>730</v>
      </c>
      <c r="G77" s="411"/>
      <c r="H77" s="412">
        <f>G77/F77*100</f>
        <v>0</v>
      </c>
      <c r="I77" s="414">
        <f>F77+C77</f>
        <v>8560</v>
      </c>
      <c r="J77" s="414">
        <f>G77+D77</f>
        <v>4752</v>
      </c>
      <c r="K77" s="412">
        <f>J77/I77*100</f>
        <v>55.514018691588788</v>
      </c>
    </row>
    <row r="78" spans="1:11" ht="11.1" customHeight="1">
      <c r="A78" s="416" t="s">
        <v>1902</v>
      </c>
      <c r="B78" s="422" t="s">
        <v>173</v>
      </c>
      <c r="C78" s="414">
        <v>5085</v>
      </c>
      <c r="D78" s="411">
        <f>570+477+618+526+607+602</f>
        <v>3400</v>
      </c>
      <c r="E78" s="412">
        <f t="shared" ref="E78:E79" si="27">D78/C78*100</f>
        <v>66.863323500491646</v>
      </c>
      <c r="F78" s="414">
        <v>445</v>
      </c>
      <c r="G78" s="411"/>
      <c r="H78" s="412">
        <f t="shared" ref="H78:H79" si="28">G78/F78*100</f>
        <v>0</v>
      </c>
      <c r="I78" s="414">
        <f t="shared" ref="I78:J79" si="29">F78+C78</f>
        <v>5530</v>
      </c>
      <c r="J78" s="414">
        <f t="shared" si="29"/>
        <v>3400</v>
      </c>
      <c r="K78" s="412">
        <f t="shared" ref="K78:K79" si="30">J78/I78*100</f>
        <v>61.482820976491858</v>
      </c>
    </row>
    <row r="79" spans="1:11" ht="11.1" customHeight="1">
      <c r="A79" s="439" t="s">
        <v>1890</v>
      </c>
      <c r="B79" s="440" t="s">
        <v>1891</v>
      </c>
      <c r="C79" s="414"/>
      <c r="D79" s="411"/>
      <c r="E79" s="412" t="e">
        <f t="shared" si="27"/>
        <v>#DIV/0!</v>
      </c>
      <c r="F79" s="414">
        <v>2090</v>
      </c>
      <c r="G79" s="411">
        <f>205+182+222+204+203+140</f>
        <v>1156</v>
      </c>
      <c r="H79" s="412">
        <f t="shared" si="28"/>
        <v>55.311004784688997</v>
      </c>
      <c r="I79" s="414">
        <f t="shared" si="29"/>
        <v>2090</v>
      </c>
      <c r="J79" s="414">
        <f t="shared" si="29"/>
        <v>1156</v>
      </c>
      <c r="K79" s="412">
        <f t="shared" si="30"/>
        <v>55.311004784688997</v>
      </c>
    </row>
    <row r="80" spans="1:11" ht="11.1" customHeight="1">
      <c r="A80" s="438"/>
      <c r="B80" s="434" t="s">
        <v>2</v>
      </c>
      <c r="C80" s="414">
        <f>SUM(C77:C79)</f>
        <v>12915</v>
      </c>
      <c r="D80" s="411">
        <f>SUM(D77:D79)</f>
        <v>8152</v>
      </c>
      <c r="E80" s="424">
        <f>D80/C80*100</f>
        <v>63.120402632597752</v>
      </c>
      <c r="F80" s="411">
        <f t="shared" ref="F80:J80" si="31">SUM(F77:F79)</f>
        <v>3265</v>
      </c>
      <c r="G80" s="411">
        <f t="shared" si="31"/>
        <v>1156</v>
      </c>
      <c r="H80" s="424">
        <f t="shared" si="31"/>
        <v>55.311004784688997</v>
      </c>
      <c r="I80" s="411">
        <f t="shared" si="31"/>
        <v>16180</v>
      </c>
      <c r="J80" s="411">
        <f t="shared" si="31"/>
        <v>9308</v>
      </c>
      <c r="K80" s="424">
        <f>J80/I80*100</f>
        <v>57.527812113720643</v>
      </c>
    </row>
    <row r="81" spans="1:11" ht="11.1" customHeight="1">
      <c r="A81" s="110"/>
      <c r="B81" s="111" t="s">
        <v>208</v>
      </c>
      <c r="C81" s="1839" t="s">
        <v>1852</v>
      </c>
      <c r="D81" s="1840"/>
      <c r="E81" s="1840"/>
      <c r="F81" s="1840"/>
      <c r="G81" s="1840"/>
      <c r="H81" s="1840"/>
      <c r="I81" s="1840"/>
      <c r="J81" s="1840"/>
      <c r="K81" s="1840"/>
    </row>
    <row r="82" spans="1:11" ht="11.1" customHeight="1">
      <c r="A82" s="110"/>
      <c r="B82" s="111" t="s">
        <v>209</v>
      </c>
      <c r="C82" s="1839">
        <v>17878735</v>
      </c>
      <c r="D82" s="1840"/>
      <c r="E82" s="1840"/>
      <c r="F82" s="1840"/>
      <c r="G82" s="1840"/>
      <c r="H82" s="1840"/>
      <c r="I82" s="1840"/>
      <c r="J82" s="1840"/>
      <c r="K82" s="1840"/>
    </row>
    <row r="83" spans="1:11" ht="11.1" customHeight="1">
      <c r="A83" s="110"/>
      <c r="B83" s="111" t="s">
        <v>211</v>
      </c>
      <c r="C83" s="1839">
        <v>2018</v>
      </c>
      <c r="D83" s="1840"/>
      <c r="E83" s="1840"/>
      <c r="F83" s="1840"/>
      <c r="G83" s="1840"/>
      <c r="H83" s="1840"/>
      <c r="I83" s="1840"/>
      <c r="J83" s="1840"/>
      <c r="K83" s="1840"/>
    </row>
    <row r="84" spans="1:11" ht="11.1" customHeight="1">
      <c r="A84" s="110"/>
      <c r="B84" s="111" t="s">
        <v>210</v>
      </c>
      <c r="C84" s="1830" t="s">
        <v>254</v>
      </c>
      <c r="D84" s="1831"/>
      <c r="E84" s="1831"/>
      <c r="F84" s="1831"/>
      <c r="G84" s="1831"/>
      <c r="H84" s="1831"/>
      <c r="I84" s="1831"/>
      <c r="J84" s="1831"/>
      <c r="K84" s="1831"/>
    </row>
    <row r="85" spans="1:11" ht="39.75" customHeight="1">
      <c r="A85" s="110"/>
      <c r="B85" s="111" t="s">
        <v>251</v>
      </c>
      <c r="C85" s="1900" t="s">
        <v>1903</v>
      </c>
      <c r="D85" s="1901"/>
      <c r="E85" s="1901"/>
      <c r="F85" s="1901"/>
      <c r="G85" s="1901"/>
      <c r="H85" s="1901"/>
      <c r="I85" s="1901"/>
      <c r="J85" s="1901"/>
      <c r="K85" s="1901"/>
    </row>
    <row r="86" spans="1:11" ht="11.1" customHeight="1">
      <c r="A86" s="1884" t="s">
        <v>55</v>
      </c>
      <c r="B86" s="1896" t="s">
        <v>256</v>
      </c>
      <c r="C86" s="1897" t="s">
        <v>262</v>
      </c>
      <c r="D86" s="1898"/>
      <c r="E86" s="1899"/>
      <c r="F86" s="1897" t="s">
        <v>263</v>
      </c>
      <c r="G86" s="1898"/>
      <c r="H86" s="1899"/>
      <c r="I86" s="1897" t="s">
        <v>90</v>
      </c>
      <c r="J86" s="1898"/>
      <c r="K86" s="1899"/>
    </row>
    <row r="87" spans="1:11" ht="11.1" customHeight="1">
      <c r="A87" s="1895"/>
      <c r="B87" s="1895"/>
      <c r="C87" s="403" t="s">
        <v>368</v>
      </c>
      <c r="D87" s="404" t="s">
        <v>1813</v>
      </c>
      <c r="E87" s="405" t="s">
        <v>1872</v>
      </c>
      <c r="F87" s="403" t="s">
        <v>368</v>
      </c>
      <c r="G87" s="404" t="s">
        <v>1813</v>
      </c>
      <c r="H87" s="405" t="s">
        <v>1872</v>
      </c>
      <c r="I87" s="403" t="s">
        <v>368</v>
      </c>
      <c r="J87" s="403" t="s">
        <v>1813</v>
      </c>
      <c r="K87" s="405" t="s">
        <v>1872</v>
      </c>
    </row>
    <row r="88" spans="1:11" ht="11.1" customHeight="1">
      <c r="A88" s="438"/>
      <c r="B88" s="407" t="s">
        <v>1830</v>
      </c>
      <c r="C88" s="414"/>
      <c r="D88" s="411"/>
      <c r="E88" s="412"/>
      <c r="F88" s="414"/>
      <c r="G88" s="411"/>
      <c r="H88" s="412"/>
      <c r="I88" s="414"/>
      <c r="J88" s="414"/>
      <c r="K88" s="412"/>
    </row>
    <row r="89" spans="1:11" ht="11.1" customHeight="1">
      <c r="A89" s="408" t="s">
        <v>171</v>
      </c>
      <c r="B89" s="426" t="s">
        <v>174</v>
      </c>
      <c r="C89" s="414">
        <v>9700</v>
      </c>
      <c r="D89" s="411">
        <f>1241+1127+1044+764+754+662</f>
        <v>5592</v>
      </c>
      <c r="E89" s="412">
        <f>D89/C89*100</f>
        <v>57.649484536082475</v>
      </c>
      <c r="F89" s="414"/>
      <c r="G89" s="411"/>
      <c r="H89" s="412" t="e">
        <f>G89/F89*100</f>
        <v>#DIV/0!</v>
      </c>
      <c r="I89" s="414">
        <f>C89+F89</f>
        <v>9700</v>
      </c>
      <c r="J89" s="414">
        <f>D89+G89</f>
        <v>5592</v>
      </c>
      <c r="K89" s="412">
        <f>J89/I89*100</f>
        <v>57.649484536082475</v>
      </c>
    </row>
    <row r="90" spans="1:11" ht="11.1" customHeight="1">
      <c r="A90" s="408" t="s">
        <v>172</v>
      </c>
      <c r="B90" s="426" t="s">
        <v>1895</v>
      </c>
      <c r="C90" s="414">
        <v>3315</v>
      </c>
      <c r="D90" s="411">
        <f>314+324+439+396+313+219</f>
        <v>2005</v>
      </c>
      <c r="E90" s="412">
        <f t="shared" ref="E90:E94" si="32">D90/C90*100</f>
        <v>60.482654600301657</v>
      </c>
      <c r="F90" s="414"/>
      <c r="G90" s="411"/>
      <c r="H90" s="412" t="e">
        <f t="shared" ref="H90:H94" si="33">G90/F90*100</f>
        <v>#DIV/0!</v>
      </c>
      <c r="I90" s="414">
        <f t="shared" ref="I90:J94" si="34">C90+F90</f>
        <v>3315</v>
      </c>
      <c r="J90" s="414">
        <f t="shared" si="34"/>
        <v>2005</v>
      </c>
      <c r="K90" s="412">
        <f t="shared" ref="K90:K94" si="35">J90/I90*100</f>
        <v>60.482654600301657</v>
      </c>
    </row>
    <row r="91" spans="1:11" ht="11.1" customHeight="1">
      <c r="A91" s="416" t="s">
        <v>1884</v>
      </c>
      <c r="B91" s="417" t="s">
        <v>1885</v>
      </c>
      <c r="C91" s="414">
        <v>1880</v>
      </c>
      <c r="D91" s="411">
        <f>210+139+160+396+130+163+163</f>
        <v>1361</v>
      </c>
      <c r="E91" s="412">
        <f t="shared" si="32"/>
        <v>72.393617021276597</v>
      </c>
      <c r="F91" s="414"/>
      <c r="G91" s="411"/>
      <c r="H91" s="412" t="e">
        <f t="shared" si="33"/>
        <v>#DIV/0!</v>
      </c>
      <c r="I91" s="414">
        <f t="shared" si="34"/>
        <v>1880</v>
      </c>
      <c r="J91" s="414">
        <f t="shared" si="34"/>
        <v>1361</v>
      </c>
      <c r="K91" s="412">
        <f t="shared" si="35"/>
        <v>72.393617021276597</v>
      </c>
    </row>
    <row r="92" spans="1:11" ht="24.95" customHeight="1">
      <c r="A92" s="416" t="s">
        <v>1886</v>
      </c>
      <c r="B92" s="417" t="s">
        <v>1887</v>
      </c>
      <c r="C92" s="414">
        <v>630</v>
      </c>
      <c r="D92" s="411">
        <f>34+35+63+44+62+49</f>
        <v>287</v>
      </c>
      <c r="E92" s="412">
        <f t="shared" si="32"/>
        <v>45.555555555555557</v>
      </c>
      <c r="F92" s="414"/>
      <c r="G92" s="411"/>
      <c r="H92" s="412" t="e">
        <f t="shared" si="33"/>
        <v>#DIV/0!</v>
      </c>
      <c r="I92" s="414">
        <f t="shared" si="34"/>
        <v>630</v>
      </c>
      <c r="J92" s="414">
        <f t="shared" si="34"/>
        <v>287</v>
      </c>
      <c r="K92" s="412">
        <f t="shared" si="35"/>
        <v>45.555555555555557</v>
      </c>
    </row>
    <row r="93" spans="1:11" ht="24.95" customHeight="1">
      <c r="A93" s="416" t="s">
        <v>1888</v>
      </c>
      <c r="B93" s="417" t="s">
        <v>1889</v>
      </c>
      <c r="C93" s="414">
        <v>40</v>
      </c>
      <c r="D93" s="411">
        <v>22</v>
      </c>
      <c r="E93" s="412">
        <f t="shared" si="32"/>
        <v>55.000000000000007</v>
      </c>
      <c r="F93" s="414"/>
      <c r="G93" s="411"/>
      <c r="H93" s="412" t="e">
        <f t="shared" si="33"/>
        <v>#DIV/0!</v>
      </c>
      <c r="I93" s="414">
        <f t="shared" si="34"/>
        <v>40</v>
      </c>
      <c r="J93" s="414">
        <f t="shared" si="34"/>
        <v>22</v>
      </c>
      <c r="K93" s="412">
        <f t="shared" si="35"/>
        <v>55.000000000000007</v>
      </c>
    </row>
    <row r="94" spans="1:11" ht="24.95" customHeight="1">
      <c r="A94" s="441" t="s">
        <v>1890</v>
      </c>
      <c r="B94" s="442" t="s">
        <v>1891</v>
      </c>
      <c r="C94" s="414"/>
      <c r="D94" s="411"/>
      <c r="E94" s="412" t="e">
        <f t="shared" si="32"/>
        <v>#DIV/0!</v>
      </c>
      <c r="F94" s="414">
        <v>2090</v>
      </c>
      <c r="G94" s="411">
        <f>246+339+262+257+239</f>
        <v>1343</v>
      </c>
      <c r="H94" s="412">
        <f t="shared" si="33"/>
        <v>64.25837320574162</v>
      </c>
      <c r="I94" s="414">
        <f t="shared" si="34"/>
        <v>2090</v>
      </c>
      <c r="J94" s="414">
        <f t="shared" si="34"/>
        <v>1343</v>
      </c>
      <c r="K94" s="412">
        <f t="shared" si="35"/>
        <v>64.25837320574162</v>
      </c>
    </row>
    <row r="95" spans="1:11" ht="24.95" customHeight="1">
      <c r="A95" s="438"/>
      <c r="B95" s="434" t="s">
        <v>2</v>
      </c>
      <c r="C95" s="414">
        <f>SUM(C89:C94)</f>
        <v>15565</v>
      </c>
      <c r="D95" s="411">
        <f>SUM(D89:D94)</f>
        <v>9267</v>
      </c>
      <c r="E95" s="424">
        <f>D95/C95*100</f>
        <v>59.537423707035018</v>
      </c>
      <c r="F95" s="411">
        <f t="shared" ref="F95:J95" si="36">SUM(F89:F94)</f>
        <v>2090</v>
      </c>
      <c r="G95" s="411">
        <f t="shared" si="36"/>
        <v>1343</v>
      </c>
      <c r="H95" s="411" t="e">
        <f t="shared" si="36"/>
        <v>#DIV/0!</v>
      </c>
      <c r="I95" s="411">
        <f t="shared" si="36"/>
        <v>17655</v>
      </c>
      <c r="J95" s="411">
        <f t="shared" si="36"/>
        <v>10610</v>
      </c>
      <c r="K95" s="424">
        <f>J95/I95*100</f>
        <v>60.096290002832056</v>
      </c>
    </row>
    <row r="96" spans="1:11" ht="24.95" customHeight="1">
      <c r="A96" s="110"/>
      <c r="B96" s="111" t="s">
        <v>208</v>
      </c>
      <c r="C96" s="1839" t="s">
        <v>1852</v>
      </c>
      <c r="D96" s="1840"/>
      <c r="E96" s="1840"/>
      <c r="F96" s="1840"/>
      <c r="G96" s="1840"/>
      <c r="H96" s="1840"/>
      <c r="I96" s="1840"/>
      <c r="J96" s="1840"/>
      <c r="K96" s="1840"/>
    </row>
    <row r="97" spans="1:11" ht="24.95" customHeight="1">
      <c r="A97" s="110"/>
      <c r="B97" s="111" t="s">
        <v>209</v>
      </c>
      <c r="C97" s="1839">
        <v>17878735</v>
      </c>
      <c r="D97" s="1840"/>
      <c r="E97" s="1840"/>
      <c r="F97" s="1840"/>
      <c r="G97" s="1840"/>
      <c r="H97" s="1840"/>
      <c r="I97" s="1840"/>
      <c r="J97" s="1840"/>
      <c r="K97" s="1840"/>
    </row>
    <row r="98" spans="1:11" ht="24.95" customHeight="1">
      <c r="A98" s="110"/>
      <c r="B98" s="111" t="s">
        <v>211</v>
      </c>
      <c r="C98" s="1839">
        <v>2018</v>
      </c>
      <c r="D98" s="1840"/>
      <c r="E98" s="1840"/>
      <c r="F98" s="1840"/>
      <c r="G98" s="1840"/>
      <c r="H98" s="1840"/>
      <c r="I98" s="1840"/>
      <c r="J98" s="1840"/>
      <c r="K98" s="1840"/>
    </row>
    <row r="99" spans="1:11" ht="24.95" customHeight="1">
      <c r="A99" s="110"/>
      <c r="B99" s="111" t="s">
        <v>210</v>
      </c>
      <c r="C99" s="1830" t="s">
        <v>254</v>
      </c>
      <c r="D99" s="1831"/>
      <c r="E99" s="1831"/>
      <c r="F99" s="1831"/>
      <c r="G99" s="1831"/>
      <c r="H99" s="1831"/>
      <c r="I99" s="1831"/>
      <c r="J99" s="1831"/>
      <c r="K99" s="1831"/>
    </row>
    <row r="100" spans="1:11" ht="24.95" customHeight="1">
      <c r="A100" s="110"/>
      <c r="B100" s="111" t="s">
        <v>251</v>
      </c>
      <c r="C100" s="1900" t="s">
        <v>1904</v>
      </c>
      <c r="D100" s="1901"/>
      <c r="E100" s="1901"/>
      <c r="F100" s="1901"/>
      <c r="G100" s="1901"/>
      <c r="H100" s="1901"/>
      <c r="I100" s="1901"/>
      <c r="J100" s="1901"/>
      <c r="K100" s="1901"/>
    </row>
    <row r="101" spans="1:11" ht="24.95" customHeight="1">
      <c r="A101" s="1884" t="s">
        <v>55</v>
      </c>
      <c r="B101" s="1896" t="s">
        <v>256</v>
      </c>
      <c r="C101" s="1897" t="s">
        <v>262</v>
      </c>
      <c r="D101" s="1898"/>
      <c r="E101" s="1899"/>
      <c r="F101" s="1897" t="s">
        <v>263</v>
      </c>
      <c r="G101" s="1898"/>
      <c r="H101" s="1899"/>
      <c r="I101" s="1897" t="s">
        <v>90</v>
      </c>
      <c r="J101" s="1898"/>
      <c r="K101" s="1899"/>
    </row>
    <row r="102" spans="1:11" ht="24.95" customHeight="1">
      <c r="A102" s="1895"/>
      <c r="B102" s="1895"/>
      <c r="C102" s="403" t="s">
        <v>368</v>
      </c>
      <c r="D102" s="404" t="s">
        <v>1813</v>
      </c>
      <c r="E102" s="405" t="s">
        <v>1872</v>
      </c>
      <c r="F102" s="403" t="s">
        <v>368</v>
      </c>
      <c r="G102" s="404" t="s">
        <v>1813</v>
      </c>
      <c r="H102" s="405" t="s">
        <v>1872</v>
      </c>
      <c r="I102" s="403" t="s">
        <v>368</v>
      </c>
      <c r="J102" s="403" t="s">
        <v>1813</v>
      </c>
      <c r="K102" s="405" t="s">
        <v>1872</v>
      </c>
    </row>
    <row r="103" spans="1:11" ht="24.95" customHeight="1">
      <c r="A103" s="438"/>
      <c r="B103" s="407" t="s">
        <v>1905</v>
      </c>
      <c r="C103" s="414"/>
      <c r="D103" s="411"/>
      <c r="E103" s="412"/>
      <c r="F103" s="414"/>
      <c r="G103" s="411"/>
      <c r="H103" s="412"/>
      <c r="I103" s="414"/>
      <c r="J103" s="414"/>
      <c r="K103" s="412"/>
    </row>
    <row r="104" spans="1:11" ht="24.95" customHeight="1">
      <c r="A104" s="443"/>
      <c r="B104" s="444" t="s">
        <v>1906</v>
      </c>
      <c r="C104" s="445">
        <v>2610</v>
      </c>
      <c r="D104" s="446">
        <f>D105+D106+D107</f>
        <v>1423</v>
      </c>
      <c r="E104" s="446">
        <f>D104/C104*100</f>
        <v>54.521072796934867</v>
      </c>
      <c r="F104" s="445">
        <v>140</v>
      </c>
      <c r="G104" s="446">
        <v>0</v>
      </c>
      <c r="H104" s="412">
        <f>G104/F104*100</f>
        <v>0</v>
      </c>
      <c r="I104" s="445">
        <v>2750</v>
      </c>
      <c r="J104" s="447">
        <f>G104+D104</f>
        <v>1423</v>
      </c>
      <c r="K104" s="412">
        <f>J104/I104*100</f>
        <v>51.74545454545455</v>
      </c>
    </row>
    <row r="105" spans="1:11" ht="24.95" customHeight="1">
      <c r="A105" s="448" t="s">
        <v>171</v>
      </c>
      <c r="B105" s="449" t="s">
        <v>174</v>
      </c>
      <c r="C105" s="450">
        <v>765</v>
      </c>
      <c r="D105" s="411">
        <f>55+29+19+18+36+76+24+22+35+31+45+12</f>
        <v>402</v>
      </c>
      <c r="E105" s="446">
        <f t="shared" ref="E105:E107" si="37">D105/C105*100</f>
        <v>52.549019607843142</v>
      </c>
      <c r="F105" s="445">
        <v>0</v>
      </c>
      <c r="G105" s="411"/>
      <c r="H105" s="412"/>
      <c r="I105" s="445">
        <v>765</v>
      </c>
      <c r="J105" s="447">
        <f t="shared" ref="J105:J107" si="38">G105+D105</f>
        <v>402</v>
      </c>
      <c r="K105" s="412">
        <f t="shared" ref="K105:K112" si="39">J105/I105*100</f>
        <v>52.549019607843142</v>
      </c>
    </row>
    <row r="106" spans="1:11" ht="24.95" customHeight="1">
      <c r="A106" s="448" t="s">
        <v>172</v>
      </c>
      <c r="B106" s="449" t="s">
        <v>173</v>
      </c>
      <c r="C106" s="450">
        <v>1845</v>
      </c>
      <c r="D106" s="411">
        <f>4+165+94+4+182+43+32+138+141+24+179+11</f>
        <v>1017</v>
      </c>
      <c r="E106" s="446">
        <f t="shared" si="37"/>
        <v>55.121951219512198</v>
      </c>
      <c r="F106" s="445">
        <v>0</v>
      </c>
      <c r="G106" s="411"/>
      <c r="H106" s="412"/>
      <c r="I106" s="445">
        <v>1845</v>
      </c>
      <c r="J106" s="447">
        <f t="shared" si="38"/>
        <v>1017</v>
      </c>
      <c r="K106" s="412">
        <f t="shared" si="39"/>
        <v>55.121951219512198</v>
      </c>
    </row>
    <row r="107" spans="1:11" ht="24.95" customHeight="1">
      <c r="A107" s="451" t="s">
        <v>1890</v>
      </c>
      <c r="B107" s="452" t="s">
        <v>1891</v>
      </c>
      <c r="C107" s="450"/>
      <c r="D107" s="411">
        <v>4</v>
      </c>
      <c r="E107" s="446" t="e">
        <f t="shared" si="37"/>
        <v>#DIV/0!</v>
      </c>
      <c r="F107" s="453">
        <v>140</v>
      </c>
      <c r="G107" s="411"/>
      <c r="H107" s="412"/>
      <c r="I107" s="445">
        <v>140</v>
      </c>
      <c r="J107" s="447">
        <f t="shared" si="38"/>
        <v>4</v>
      </c>
      <c r="K107" s="412">
        <f t="shared" si="39"/>
        <v>2.8571428571428572</v>
      </c>
    </row>
    <row r="108" spans="1:11" ht="24.95" customHeight="1">
      <c r="A108" s="443"/>
      <c r="B108" s="454" t="s">
        <v>1907</v>
      </c>
      <c r="C108" s="445">
        <v>8105</v>
      </c>
      <c r="D108" s="411">
        <f>D109+D110</f>
        <v>4255</v>
      </c>
      <c r="E108" s="424">
        <f>D108/C108*100</f>
        <v>52.498457742134484</v>
      </c>
      <c r="F108" s="445">
        <v>0</v>
      </c>
      <c r="G108" s="411">
        <f t="shared" ref="G108:J108" si="40">G109+G110</f>
        <v>0</v>
      </c>
      <c r="H108" s="411" t="e">
        <f t="shared" si="40"/>
        <v>#DIV/0!</v>
      </c>
      <c r="I108" s="445">
        <v>8105</v>
      </c>
      <c r="J108" s="411">
        <f t="shared" si="40"/>
        <v>4255</v>
      </c>
      <c r="K108" s="424">
        <f>J108/I108*100</f>
        <v>52.498457742134484</v>
      </c>
    </row>
    <row r="109" spans="1:11" ht="24.95" customHeight="1">
      <c r="A109" s="448" t="s">
        <v>171</v>
      </c>
      <c r="B109" s="449" t="s">
        <v>174</v>
      </c>
      <c r="C109" s="450">
        <v>2375</v>
      </c>
      <c r="D109" s="411">
        <f>233+242+195+206+132+125+96+88+153+118+191+39</f>
        <v>1818</v>
      </c>
      <c r="E109" s="424">
        <f t="shared" ref="E109:E140" si="41">D109/C109*100</f>
        <v>76.547368421052624</v>
      </c>
      <c r="F109" s="445"/>
      <c r="G109" s="411"/>
      <c r="H109" s="412" t="e">
        <f t="shared" ref="H109:H112" si="42">G109/F109*100</f>
        <v>#DIV/0!</v>
      </c>
      <c r="I109" s="445">
        <v>2375</v>
      </c>
      <c r="J109" s="414">
        <f>G109+D109</f>
        <v>1818</v>
      </c>
      <c r="K109" s="412">
        <f t="shared" si="39"/>
        <v>76.547368421052624</v>
      </c>
    </row>
    <row r="110" spans="1:11" ht="24.95" customHeight="1">
      <c r="A110" s="448" t="s">
        <v>172</v>
      </c>
      <c r="B110" s="449" t="s">
        <v>173</v>
      </c>
      <c r="C110" s="450">
        <v>5730</v>
      </c>
      <c r="D110" s="411">
        <f>47+319+311+50+511+136+96+309+311+58+220+69</f>
        <v>2437</v>
      </c>
      <c r="E110" s="424">
        <f t="shared" si="41"/>
        <v>42.530541012216403</v>
      </c>
      <c r="F110" s="445"/>
      <c r="G110" s="411"/>
      <c r="H110" s="412" t="e">
        <f t="shared" si="42"/>
        <v>#DIV/0!</v>
      </c>
      <c r="I110" s="445">
        <v>5730</v>
      </c>
      <c r="J110" s="414">
        <f t="shared" ref="J110:J112" si="43">G110+D110</f>
        <v>2437</v>
      </c>
      <c r="K110" s="412">
        <f t="shared" si="39"/>
        <v>42.530541012216403</v>
      </c>
    </row>
    <row r="111" spans="1:11" ht="24.95" customHeight="1">
      <c r="A111" s="416" t="s">
        <v>1888</v>
      </c>
      <c r="B111" s="417" t="s">
        <v>1889</v>
      </c>
      <c r="C111" s="455"/>
      <c r="D111" s="411"/>
      <c r="E111" s="424" t="e">
        <f t="shared" si="41"/>
        <v>#DIV/0!</v>
      </c>
      <c r="F111" s="455"/>
      <c r="G111" s="411"/>
      <c r="H111" s="412" t="e">
        <f t="shared" si="42"/>
        <v>#DIV/0!</v>
      </c>
      <c r="I111" s="445">
        <v>0</v>
      </c>
      <c r="J111" s="414">
        <f t="shared" si="43"/>
        <v>0</v>
      </c>
      <c r="K111" s="412" t="e">
        <f t="shared" si="39"/>
        <v>#DIV/0!</v>
      </c>
    </row>
    <row r="112" spans="1:11" ht="24.95" customHeight="1">
      <c r="A112" s="456" t="s">
        <v>1890</v>
      </c>
      <c r="B112" s="452" t="s">
        <v>1891</v>
      </c>
      <c r="C112" s="450"/>
      <c r="D112" s="411"/>
      <c r="E112" s="424" t="e">
        <f t="shared" si="41"/>
        <v>#DIV/0!</v>
      </c>
      <c r="F112" s="453"/>
      <c r="G112" s="411"/>
      <c r="H112" s="412" t="e">
        <f t="shared" si="42"/>
        <v>#DIV/0!</v>
      </c>
      <c r="I112" s="445">
        <v>0</v>
      </c>
      <c r="J112" s="414">
        <f t="shared" si="43"/>
        <v>0</v>
      </c>
      <c r="K112" s="412" t="e">
        <f t="shared" si="39"/>
        <v>#DIV/0!</v>
      </c>
    </row>
    <row r="113" spans="1:11" ht="24.95" customHeight="1">
      <c r="A113" s="443"/>
      <c r="B113" s="457" t="s">
        <v>1908</v>
      </c>
      <c r="C113" s="445">
        <v>4550</v>
      </c>
      <c r="D113" s="411">
        <f>D114+D115</f>
        <v>1705</v>
      </c>
      <c r="E113" s="424">
        <f t="shared" si="41"/>
        <v>37.472527472527474</v>
      </c>
      <c r="F113" s="445">
        <v>100</v>
      </c>
      <c r="G113" s="411">
        <f t="shared" ref="G113:J113" si="44">G114+G115</f>
        <v>0</v>
      </c>
      <c r="H113" s="411">
        <f t="shared" si="44"/>
        <v>0</v>
      </c>
      <c r="I113" s="445">
        <v>4650</v>
      </c>
      <c r="J113" s="411">
        <f t="shared" si="44"/>
        <v>1705</v>
      </c>
      <c r="K113" s="424">
        <f>J113/I113*100</f>
        <v>36.666666666666664</v>
      </c>
    </row>
    <row r="114" spans="1:11" ht="24.95" customHeight="1">
      <c r="A114" s="448" t="s">
        <v>171</v>
      </c>
      <c r="B114" s="449" t="s">
        <v>174</v>
      </c>
      <c r="C114" s="450">
        <v>1750</v>
      </c>
      <c r="D114" s="411">
        <v>945</v>
      </c>
      <c r="E114" s="424">
        <f t="shared" si="41"/>
        <v>54</v>
      </c>
      <c r="F114" s="445"/>
      <c r="G114" s="411"/>
      <c r="H114" s="424"/>
      <c r="I114" s="445">
        <v>1750</v>
      </c>
      <c r="J114" s="411">
        <f>G114+D114</f>
        <v>945</v>
      </c>
      <c r="K114" s="424">
        <f t="shared" ref="K114:K140" si="45">J114/I114*100</f>
        <v>54</v>
      </c>
    </row>
    <row r="115" spans="1:11" ht="24.95" customHeight="1">
      <c r="A115" s="448" t="s">
        <v>172</v>
      </c>
      <c r="B115" s="449" t="s">
        <v>173</v>
      </c>
      <c r="C115" s="450">
        <v>2800</v>
      </c>
      <c r="D115" s="411">
        <v>760</v>
      </c>
      <c r="E115" s="424">
        <f t="shared" si="41"/>
        <v>27.142857142857142</v>
      </c>
      <c r="F115" s="458"/>
      <c r="G115" s="411"/>
      <c r="H115" s="424"/>
      <c r="I115" s="445">
        <v>2800</v>
      </c>
      <c r="J115" s="411">
        <f t="shared" ref="J115:J116" si="46">G115+D115</f>
        <v>760</v>
      </c>
      <c r="K115" s="424">
        <f t="shared" si="45"/>
        <v>27.142857142857142</v>
      </c>
    </row>
    <row r="116" spans="1:11" ht="24.95" customHeight="1">
      <c r="A116" s="451" t="s">
        <v>1890</v>
      </c>
      <c r="B116" s="452" t="s">
        <v>1891</v>
      </c>
      <c r="C116" s="450">
        <v>0</v>
      </c>
      <c r="D116" s="411"/>
      <c r="E116" s="424" t="e">
        <f t="shared" si="41"/>
        <v>#DIV/0!</v>
      </c>
      <c r="F116" s="453">
        <v>100</v>
      </c>
      <c r="G116" s="411"/>
      <c r="H116" s="424"/>
      <c r="I116" s="445">
        <v>100</v>
      </c>
      <c r="J116" s="411">
        <f t="shared" si="46"/>
        <v>0</v>
      </c>
      <c r="K116" s="424">
        <f t="shared" si="45"/>
        <v>0</v>
      </c>
    </row>
    <row r="117" spans="1:11" ht="24.95" customHeight="1">
      <c r="A117" s="443"/>
      <c r="B117" s="457" t="s">
        <v>1909</v>
      </c>
      <c r="C117" s="445">
        <v>515</v>
      </c>
      <c r="D117" s="411">
        <f>D118+D119</f>
        <v>301</v>
      </c>
      <c r="E117" s="424">
        <f t="shared" si="41"/>
        <v>58.446601941747581</v>
      </c>
      <c r="F117" s="445">
        <v>0</v>
      </c>
      <c r="G117" s="411">
        <f t="shared" ref="G117:J117" si="47">G118+G119</f>
        <v>0</v>
      </c>
      <c r="H117" s="411">
        <f t="shared" si="47"/>
        <v>0</v>
      </c>
      <c r="I117" s="445">
        <v>515</v>
      </c>
      <c r="J117" s="411">
        <f t="shared" si="47"/>
        <v>301</v>
      </c>
      <c r="K117" s="424">
        <f t="shared" si="45"/>
        <v>58.446601941747581</v>
      </c>
    </row>
    <row r="118" spans="1:11" ht="24.95" customHeight="1">
      <c r="A118" s="448" t="s">
        <v>171</v>
      </c>
      <c r="B118" s="449" t="s">
        <v>174</v>
      </c>
      <c r="C118" s="450">
        <v>360</v>
      </c>
      <c r="D118" s="411">
        <v>250</v>
      </c>
      <c r="E118" s="424">
        <f t="shared" si="41"/>
        <v>69.444444444444443</v>
      </c>
      <c r="F118" s="445"/>
      <c r="G118" s="411"/>
      <c r="H118" s="424"/>
      <c r="I118" s="445">
        <v>360</v>
      </c>
      <c r="J118" s="411">
        <f>G118+D118</f>
        <v>250</v>
      </c>
      <c r="K118" s="424">
        <f t="shared" si="45"/>
        <v>69.444444444444443</v>
      </c>
    </row>
    <row r="119" spans="1:11" ht="24.95" customHeight="1">
      <c r="A119" s="448" t="s">
        <v>172</v>
      </c>
      <c r="B119" s="449" t="s">
        <v>173</v>
      </c>
      <c r="C119" s="450">
        <v>155</v>
      </c>
      <c r="D119" s="411">
        <f>5+3+1+7+16+3+7+9</f>
        <v>51</v>
      </c>
      <c r="E119" s="424">
        <f t="shared" si="41"/>
        <v>32.903225806451616</v>
      </c>
      <c r="F119" s="445"/>
      <c r="G119" s="411"/>
      <c r="H119" s="424"/>
      <c r="I119" s="445">
        <v>155</v>
      </c>
      <c r="J119" s="411">
        <f>G119+D119</f>
        <v>51</v>
      </c>
      <c r="K119" s="424">
        <f t="shared" si="45"/>
        <v>32.903225806451616</v>
      </c>
    </row>
    <row r="120" spans="1:11" ht="24.95" customHeight="1">
      <c r="A120" s="443"/>
      <c r="B120" s="457" t="s">
        <v>1910</v>
      </c>
      <c r="C120" s="445">
        <v>2145</v>
      </c>
      <c r="D120" s="411">
        <f>D121+D122+D123+D124</f>
        <v>1444</v>
      </c>
      <c r="E120" s="424">
        <f t="shared" si="41"/>
        <v>67.319347319347315</v>
      </c>
      <c r="F120" s="445">
        <v>50</v>
      </c>
      <c r="G120" s="411">
        <f t="shared" ref="G120:J120" si="48">G121+G122+G123+G124</f>
        <v>0</v>
      </c>
      <c r="H120" s="411" t="e">
        <f t="shared" si="48"/>
        <v>#DIV/0!</v>
      </c>
      <c r="I120" s="445">
        <v>2195</v>
      </c>
      <c r="J120" s="411">
        <f t="shared" si="48"/>
        <v>1181</v>
      </c>
      <c r="K120" s="424">
        <f t="shared" si="45"/>
        <v>53.804100227790428</v>
      </c>
    </row>
    <row r="121" spans="1:11" ht="24.95" customHeight="1">
      <c r="A121" s="448" t="s">
        <v>171</v>
      </c>
      <c r="B121" s="449" t="s">
        <v>174</v>
      </c>
      <c r="C121" s="450">
        <v>1020</v>
      </c>
      <c r="D121" s="411">
        <v>595</v>
      </c>
      <c r="E121" s="424">
        <f t="shared" si="41"/>
        <v>58.333333333333336</v>
      </c>
      <c r="F121" s="445"/>
      <c r="G121" s="411"/>
      <c r="H121" s="424" t="e">
        <f>G121/F121*100</f>
        <v>#DIV/0!</v>
      </c>
      <c r="I121" s="445">
        <v>1020</v>
      </c>
      <c r="J121" s="411">
        <f>G121+D121</f>
        <v>595</v>
      </c>
      <c r="K121" s="424">
        <f t="shared" si="45"/>
        <v>58.333333333333336</v>
      </c>
    </row>
    <row r="122" spans="1:11" ht="24.95" customHeight="1">
      <c r="A122" s="448" t="s">
        <v>172</v>
      </c>
      <c r="B122" s="449" t="s">
        <v>173</v>
      </c>
      <c r="C122" s="450">
        <v>1125</v>
      </c>
      <c r="D122" s="411">
        <v>586</v>
      </c>
      <c r="E122" s="424">
        <f t="shared" si="41"/>
        <v>52.088888888888881</v>
      </c>
      <c r="F122" s="445"/>
      <c r="G122" s="411"/>
      <c r="H122" s="412" t="e">
        <f t="shared" ref="H122:H126" si="49">G122/F122*100</f>
        <v>#DIV/0!</v>
      </c>
      <c r="I122" s="445">
        <v>1125</v>
      </c>
      <c r="J122" s="414">
        <f t="shared" ref="J122:J126" si="50">G122+D122</f>
        <v>586</v>
      </c>
      <c r="K122" s="424">
        <f t="shared" si="45"/>
        <v>52.088888888888881</v>
      </c>
    </row>
    <row r="123" spans="1:11" ht="24.95" customHeight="1">
      <c r="A123" s="408" t="s">
        <v>1884</v>
      </c>
      <c r="B123" s="415" t="s">
        <v>1911</v>
      </c>
      <c r="C123" s="450"/>
      <c r="D123" s="411">
        <v>204</v>
      </c>
      <c r="E123" s="424" t="e">
        <f t="shared" si="41"/>
        <v>#DIV/0!</v>
      </c>
      <c r="F123" s="445"/>
      <c r="G123" s="411"/>
      <c r="H123" s="412"/>
      <c r="I123" s="445">
        <v>0</v>
      </c>
      <c r="J123" s="414"/>
      <c r="K123" s="424" t="e">
        <f t="shared" si="45"/>
        <v>#DIV/0!</v>
      </c>
    </row>
    <row r="124" spans="1:11" ht="24.95" customHeight="1">
      <c r="A124" s="408" t="s">
        <v>1886</v>
      </c>
      <c r="B124" s="415" t="s">
        <v>1912</v>
      </c>
      <c r="C124" s="450"/>
      <c r="D124" s="411">
        <v>59</v>
      </c>
      <c r="E124" s="424" t="e">
        <f t="shared" si="41"/>
        <v>#DIV/0!</v>
      </c>
      <c r="F124" s="453"/>
      <c r="G124" s="411"/>
      <c r="H124" s="412"/>
      <c r="I124" s="445"/>
      <c r="J124" s="414"/>
      <c r="K124" s="424" t="e">
        <f t="shared" si="45"/>
        <v>#DIV/0!</v>
      </c>
    </row>
    <row r="125" spans="1:11" ht="24.95" customHeight="1">
      <c r="A125" s="448" t="s">
        <v>1888</v>
      </c>
      <c r="B125" s="449" t="s">
        <v>1889</v>
      </c>
      <c r="C125" s="445"/>
      <c r="D125" s="411"/>
      <c r="E125" s="424" t="e">
        <f t="shared" si="41"/>
        <v>#DIV/0!</v>
      </c>
      <c r="F125" s="445"/>
      <c r="G125" s="411"/>
      <c r="H125" s="412" t="e">
        <f t="shared" si="49"/>
        <v>#DIV/0!</v>
      </c>
      <c r="I125" s="445"/>
      <c r="J125" s="414">
        <f t="shared" si="50"/>
        <v>0</v>
      </c>
      <c r="K125" s="424" t="e">
        <f t="shared" si="45"/>
        <v>#DIV/0!</v>
      </c>
    </row>
    <row r="126" spans="1:11" ht="24.95" customHeight="1">
      <c r="A126" s="451" t="s">
        <v>1890</v>
      </c>
      <c r="B126" s="452" t="s">
        <v>1891</v>
      </c>
      <c r="C126" s="450"/>
      <c r="D126" s="411"/>
      <c r="E126" s="424" t="e">
        <f t="shared" si="41"/>
        <v>#DIV/0!</v>
      </c>
      <c r="F126" s="445">
        <v>50</v>
      </c>
      <c r="G126" s="411"/>
      <c r="H126" s="412">
        <f t="shared" si="49"/>
        <v>0</v>
      </c>
      <c r="I126" s="445">
        <v>50</v>
      </c>
      <c r="J126" s="414">
        <f t="shared" si="50"/>
        <v>0</v>
      </c>
      <c r="K126" s="424">
        <f t="shared" si="45"/>
        <v>0</v>
      </c>
    </row>
    <row r="127" spans="1:11" ht="24.95" customHeight="1">
      <c r="A127" s="443"/>
      <c r="B127" s="457" t="s">
        <v>1913</v>
      </c>
      <c r="C127" s="450">
        <v>9020</v>
      </c>
      <c r="D127" s="411">
        <f>D128+D129+D130+D131</f>
        <v>3785</v>
      </c>
      <c r="E127" s="424">
        <f t="shared" si="41"/>
        <v>41.962305986696229</v>
      </c>
      <c r="F127" s="445">
        <v>260</v>
      </c>
      <c r="G127" s="411">
        <f t="shared" ref="G127:J127" si="51">G128+G129+G130+G131</f>
        <v>0</v>
      </c>
      <c r="H127" s="411" t="e">
        <f t="shared" si="51"/>
        <v>#DIV/0!</v>
      </c>
      <c r="I127" s="445">
        <v>9280</v>
      </c>
      <c r="J127" s="411">
        <f t="shared" si="51"/>
        <v>3785</v>
      </c>
      <c r="K127" s="424">
        <f t="shared" si="45"/>
        <v>40.786637931034484</v>
      </c>
    </row>
    <row r="128" spans="1:11" ht="24.95" customHeight="1">
      <c r="A128" s="408" t="s">
        <v>171</v>
      </c>
      <c r="B128" s="426" t="s">
        <v>174</v>
      </c>
      <c r="C128" s="450">
        <v>3940</v>
      </c>
      <c r="D128" s="411">
        <f>197+73+31+290+30+369+336+44+101+95+20+290</f>
        <v>1876</v>
      </c>
      <c r="E128" s="424">
        <f t="shared" si="41"/>
        <v>47.614213197969541</v>
      </c>
      <c r="F128" s="445"/>
      <c r="G128" s="411"/>
      <c r="H128" s="412" t="e">
        <f>G128/F128*100</f>
        <v>#DIV/0!</v>
      </c>
      <c r="I128" s="445">
        <v>3940</v>
      </c>
      <c r="J128" s="414">
        <f>G128+D128</f>
        <v>1876</v>
      </c>
      <c r="K128" s="424">
        <f t="shared" si="45"/>
        <v>47.614213197969541</v>
      </c>
    </row>
    <row r="129" spans="1:11" ht="24.95" customHeight="1">
      <c r="A129" s="408" t="s">
        <v>172</v>
      </c>
      <c r="B129" s="426" t="s">
        <v>173</v>
      </c>
      <c r="C129" s="450">
        <v>2145</v>
      </c>
      <c r="D129" s="411">
        <f>7+48+29+38+7+43+60+68+59+86+13+54+45</f>
        <v>557</v>
      </c>
      <c r="E129" s="424">
        <f t="shared" si="41"/>
        <v>25.967365967365968</v>
      </c>
      <c r="F129" s="445"/>
      <c r="G129" s="411"/>
      <c r="H129" s="412" t="e">
        <f t="shared" ref="H129:H132" si="52">G129/F129*100</f>
        <v>#DIV/0!</v>
      </c>
      <c r="I129" s="445">
        <v>2454</v>
      </c>
      <c r="J129" s="414">
        <f t="shared" ref="J129:J132" si="53">G129+D129</f>
        <v>557</v>
      </c>
      <c r="K129" s="424">
        <f t="shared" si="45"/>
        <v>22.697636511817439</v>
      </c>
    </row>
    <row r="130" spans="1:11" ht="24.95" customHeight="1">
      <c r="A130" s="408" t="s">
        <v>1884</v>
      </c>
      <c r="B130" s="415" t="s">
        <v>1911</v>
      </c>
      <c r="C130" s="450">
        <v>1035</v>
      </c>
      <c r="D130" s="411">
        <f>113+82+65+37+77+88+20+49+23+72+28+46</f>
        <v>700</v>
      </c>
      <c r="E130" s="424">
        <f t="shared" si="41"/>
        <v>67.632850241545896</v>
      </c>
      <c r="F130" s="453"/>
      <c r="G130" s="411"/>
      <c r="H130" s="412" t="e">
        <f t="shared" si="52"/>
        <v>#DIV/0!</v>
      </c>
      <c r="I130" s="445">
        <v>1035</v>
      </c>
      <c r="J130" s="414">
        <f t="shared" si="53"/>
        <v>700</v>
      </c>
      <c r="K130" s="424">
        <f t="shared" si="45"/>
        <v>67.632850241545896</v>
      </c>
    </row>
    <row r="131" spans="1:11" ht="24.95" customHeight="1">
      <c r="A131" s="408" t="s">
        <v>1886</v>
      </c>
      <c r="B131" s="415" t="s">
        <v>1912</v>
      </c>
      <c r="C131" s="445">
        <v>1900</v>
      </c>
      <c r="D131" s="411">
        <v>652</v>
      </c>
      <c r="E131" s="424">
        <f t="shared" si="41"/>
        <v>34.315789473684212</v>
      </c>
      <c r="F131" s="445"/>
      <c r="G131" s="411"/>
      <c r="H131" s="412" t="e">
        <f t="shared" si="52"/>
        <v>#DIV/0!</v>
      </c>
      <c r="I131" s="445">
        <v>1900</v>
      </c>
      <c r="J131" s="414">
        <f t="shared" si="53"/>
        <v>652</v>
      </c>
      <c r="K131" s="424">
        <f t="shared" si="45"/>
        <v>34.315789473684212</v>
      </c>
    </row>
    <row r="132" spans="1:11" ht="24.95" customHeight="1">
      <c r="A132" s="421" t="s">
        <v>1890</v>
      </c>
      <c r="B132" s="422" t="s">
        <v>1891</v>
      </c>
      <c r="C132" s="450"/>
      <c r="D132" s="411"/>
      <c r="E132" s="424" t="e">
        <f t="shared" si="41"/>
        <v>#DIV/0!</v>
      </c>
      <c r="F132" s="445">
        <v>260</v>
      </c>
      <c r="G132" s="411"/>
      <c r="H132" s="412">
        <f t="shared" si="52"/>
        <v>0</v>
      </c>
      <c r="I132" s="445">
        <v>260</v>
      </c>
      <c r="J132" s="414">
        <f t="shared" si="53"/>
        <v>0</v>
      </c>
      <c r="K132" s="424">
        <f t="shared" si="45"/>
        <v>0</v>
      </c>
    </row>
    <row r="133" spans="1:11" ht="24.95" customHeight="1">
      <c r="A133" s="443"/>
      <c r="B133" s="457" t="s">
        <v>1914</v>
      </c>
      <c r="C133" s="450">
        <v>13940</v>
      </c>
      <c r="D133" s="411">
        <f>D134+D135+D136+D137</f>
        <v>6987</v>
      </c>
      <c r="E133" s="424">
        <f t="shared" si="41"/>
        <v>50.121951219512198</v>
      </c>
      <c r="F133" s="445">
        <v>2860</v>
      </c>
      <c r="G133" s="411"/>
      <c r="H133" s="424">
        <f>G133/F133*100</f>
        <v>0</v>
      </c>
      <c r="I133" s="445">
        <v>16800</v>
      </c>
      <c r="J133" s="411">
        <f>G133+D133</f>
        <v>6987</v>
      </c>
      <c r="K133" s="424">
        <f t="shared" si="45"/>
        <v>41.589285714285715</v>
      </c>
    </row>
    <row r="134" spans="1:11" ht="24.95" customHeight="1">
      <c r="A134" s="408" t="s">
        <v>171</v>
      </c>
      <c r="B134" s="426" t="s">
        <v>174</v>
      </c>
      <c r="C134" s="450">
        <v>10700</v>
      </c>
      <c r="D134" s="411">
        <f>95+906+26+70+914+21+1060+14+88+951+16+85+16+964+17+660+14+28</f>
        <v>5945</v>
      </c>
      <c r="E134" s="424">
        <f t="shared" si="41"/>
        <v>55.560747663551403</v>
      </c>
      <c r="F134" s="445"/>
      <c r="G134" s="411"/>
      <c r="H134" s="412" t="e">
        <f t="shared" ref="H134:H139" si="54">G134/F134*100</f>
        <v>#DIV/0!</v>
      </c>
      <c r="I134" s="445">
        <v>10700</v>
      </c>
      <c r="J134" s="414">
        <f t="shared" ref="J134:J139" si="55">G134+D134</f>
        <v>5945</v>
      </c>
      <c r="K134" s="424">
        <f t="shared" si="45"/>
        <v>55.560747663551403</v>
      </c>
    </row>
    <row r="135" spans="1:11" ht="24.95" customHeight="1">
      <c r="A135" s="408" t="s">
        <v>172</v>
      </c>
      <c r="B135" s="426" t="s">
        <v>173</v>
      </c>
      <c r="C135" s="450">
        <v>2040</v>
      </c>
      <c r="D135" s="411">
        <f>4+46+37+81+25+27+28+4+15+26+10+8+59+31+74+25+10</f>
        <v>510</v>
      </c>
      <c r="E135" s="424">
        <f t="shared" si="41"/>
        <v>25</v>
      </c>
      <c r="F135" s="445"/>
      <c r="G135" s="411"/>
      <c r="H135" s="412" t="e">
        <f t="shared" si="54"/>
        <v>#DIV/0!</v>
      </c>
      <c r="I135" s="445">
        <v>2040</v>
      </c>
      <c r="J135" s="414">
        <f t="shared" si="55"/>
        <v>510</v>
      </c>
      <c r="K135" s="424">
        <f t="shared" si="45"/>
        <v>25</v>
      </c>
    </row>
    <row r="136" spans="1:11" ht="24.95" customHeight="1">
      <c r="A136" s="408" t="s">
        <v>1884</v>
      </c>
      <c r="B136" s="426" t="s">
        <v>1911</v>
      </c>
      <c r="C136" s="450">
        <v>940</v>
      </c>
      <c r="D136" s="411">
        <v>480</v>
      </c>
      <c r="E136" s="424">
        <f t="shared" si="41"/>
        <v>51.063829787234042</v>
      </c>
      <c r="F136" s="445"/>
      <c r="G136" s="411"/>
      <c r="H136" s="412" t="e">
        <f t="shared" si="54"/>
        <v>#DIV/0!</v>
      </c>
      <c r="I136" s="445">
        <v>940</v>
      </c>
      <c r="J136" s="414">
        <f t="shared" si="55"/>
        <v>480</v>
      </c>
      <c r="K136" s="424">
        <f t="shared" si="45"/>
        <v>51.063829787234042</v>
      </c>
    </row>
    <row r="137" spans="1:11" ht="24.95" customHeight="1">
      <c r="A137" s="408" t="s">
        <v>1886</v>
      </c>
      <c r="B137" s="426" t="s">
        <v>1912</v>
      </c>
      <c r="C137" s="450">
        <v>240</v>
      </c>
      <c r="D137" s="411">
        <v>52</v>
      </c>
      <c r="E137" s="424">
        <f t="shared" si="41"/>
        <v>21.666666666666668</v>
      </c>
      <c r="F137" s="453"/>
      <c r="G137" s="411"/>
      <c r="H137" s="412" t="e">
        <f t="shared" si="54"/>
        <v>#DIV/0!</v>
      </c>
      <c r="I137" s="445">
        <v>240</v>
      </c>
      <c r="J137" s="414">
        <f t="shared" si="55"/>
        <v>52</v>
      </c>
      <c r="K137" s="424">
        <f t="shared" si="45"/>
        <v>21.666666666666668</v>
      </c>
    </row>
    <row r="138" spans="1:11" ht="24.95" customHeight="1">
      <c r="A138" s="408" t="s">
        <v>1888</v>
      </c>
      <c r="B138" s="426" t="s">
        <v>1889</v>
      </c>
      <c r="C138" s="459">
        <v>20</v>
      </c>
      <c r="D138" s="411"/>
      <c r="E138" s="424">
        <f t="shared" si="41"/>
        <v>0</v>
      </c>
      <c r="F138" s="459"/>
      <c r="G138" s="411"/>
      <c r="H138" s="412" t="e">
        <f t="shared" si="54"/>
        <v>#DIV/0!</v>
      </c>
      <c r="I138" s="459">
        <v>20</v>
      </c>
      <c r="J138" s="414">
        <f t="shared" si="55"/>
        <v>0</v>
      </c>
      <c r="K138" s="424">
        <f t="shared" si="45"/>
        <v>0</v>
      </c>
    </row>
    <row r="139" spans="1:11" ht="24.95" customHeight="1">
      <c r="A139" s="421" t="s">
        <v>1890</v>
      </c>
      <c r="B139" s="422" t="s">
        <v>1891</v>
      </c>
      <c r="C139" s="460"/>
      <c r="D139" s="411"/>
      <c r="E139" s="424" t="e">
        <f t="shared" si="41"/>
        <v>#DIV/0!</v>
      </c>
      <c r="F139" s="461">
        <v>2860</v>
      </c>
      <c r="G139" s="411">
        <v>2202</v>
      </c>
      <c r="H139" s="412">
        <f t="shared" si="54"/>
        <v>76.993006993007</v>
      </c>
      <c r="I139" s="414">
        <v>2860</v>
      </c>
      <c r="J139" s="414">
        <f t="shared" si="55"/>
        <v>2202</v>
      </c>
      <c r="K139" s="424">
        <f t="shared" si="45"/>
        <v>76.993006993007</v>
      </c>
    </row>
    <row r="140" spans="1:11" ht="24.95" customHeight="1">
      <c r="A140" s="421"/>
      <c r="B140" s="434" t="s">
        <v>2</v>
      </c>
      <c r="C140" s="462">
        <v>40885</v>
      </c>
      <c r="D140" s="463">
        <f>D104+D108+D113+D117+D120+D127+D133</f>
        <v>19900</v>
      </c>
      <c r="E140" s="424">
        <f t="shared" si="41"/>
        <v>48.673107496636909</v>
      </c>
      <c r="F140" s="463">
        <f t="shared" ref="F140:J140" si="56">F104+F108+F113+F117+F120+F127+F133</f>
        <v>3410</v>
      </c>
      <c r="G140" s="463">
        <f>G104+G108+G113+G117+G120+G127+G133+G139</f>
        <v>2202</v>
      </c>
      <c r="H140" s="464">
        <f>G140/F140*100</f>
        <v>64.574780058651029</v>
      </c>
      <c r="I140" s="463">
        <f t="shared" si="56"/>
        <v>44295</v>
      </c>
      <c r="J140" s="463">
        <f t="shared" si="56"/>
        <v>19637</v>
      </c>
      <c r="K140" s="424">
        <f t="shared" si="45"/>
        <v>44.332317417315728</v>
      </c>
    </row>
    <row r="141" spans="1:11" ht="24.95" customHeight="1">
      <c r="A141" s="110"/>
      <c r="B141" s="111" t="s">
        <v>208</v>
      </c>
      <c r="C141" s="1839" t="s">
        <v>1852</v>
      </c>
      <c r="D141" s="1840"/>
      <c r="E141" s="1840"/>
      <c r="F141" s="1840"/>
      <c r="G141" s="1840"/>
      <c r="H141" s="1840"/>
      <c r="I141" s="1840"/>
      <c r="J141" s="1840"/>
      <c r="K141" s="1840"/>
    </row>
    <row r="142" spans="1:11" ht="24.95" customHeight="1">
      <c r="A142" s="110"/>
      <c r="B142" s="111" t="s">
        <v>209</v>
      </c>
      <c r="C142" s="1839">
        <v>17878735</v>
      </c>
      <c r="D142" s="1840"/>
      <c r="E142" s="1840"/>
      <c r="F142" s="1840"/>
      <c r="G142" s="1840"/>
      <c r="H142" s="1840"/>
      <c r="I142" s="1840"/>
      <c r="J142" s="1840"/>
      <c r="K142" s="1840"/>
    </row>
    <row r="143" spans="1:11" ht="24.95" customHeight="1">
      <c r="A143" s="110"/>
      <c r="B143" s="111" t="s">
        <v>211</v>
      </c>
      <c r="C143" s="1839">
        <v>2018</v>
      </c>
      <c r="D143" s="1840"/>
      <c r="E143" s="1840"/>
      <c r="F143" s="1840"/>
      <c r="G143" s="1840"/>
      <c r="H143" s="1840"/>
      <c r="I143" s="1840"/>
      <c r="J143" s="1840"/>
      <c r="K143" s="1840"/>
    </row>
    <row r="144" spans="1:11" ht="24.95" customHeight="1">
      <c r="A144" s="110"/>
      <c r="B144" s="111" t="s">
        <v>210</v>
      </c>
      <c r="C144" s="1830" t="s">
        <v>254</v>
      </c>
      <c r="D144" s="1831"/>
      <c r="E144" s="1831"/>
      <c r="F144" s="1831"/>
      <c r="G144" s="1831"/>
      <c r="H144" s="1831"/>
      <c r="I144" s="1831"/>
      <c r="J144" s="1831"/>
      <c r="K144" s="1831"/>
    </row>
    <row r="145" spans="1:11" ht="24.95" customHeight="1">
      <c r="A145" s="110"/>
      <c r="B145" s="111" t="s">
        <v>251</v>
      </c>
      <c r="C145" s="1900" t="s">
        <v>1915</v>
      </c>
      <c r="D145" s="1901"/>
      <c r="E145" s="1901"/>
      <c r="F145" s="1901"/>
      <c r="G145" s="1901"/>
      <c r="H145" s="1901"/>
      <c r="I145" s="1901"/>
      <c r="J145" s="1901"/>
      <c r="K145" s="1901"/>
    </row>
    <row r="146" spans="1:11" ht="24.95" customHeight="1">
      <c r="A146" s="1884" t="s">
        <v>55</v>
      </c>
      <c r="B146" s="1896" t="s">
        <v>256</v>
      </c>
      <c r="C146" s="1897" t="s">
        <v>262</v>
      </c>
      <c r="D146" s="1898"/>
      <c r="E146" s="1899"/>
      <c r="F146" s="1897" t="s">
        <v>263</v>
      </c>
      <c r="G146" s="1898"/>
      <c r="H146" s="1899"/>
      <c r="I146" s="1897" t="s">
        <v>90</v>
      </c>
      <c r="J146" s="1898"/>
      <c r="K146" s="1899"/>
    </row>
    <row r="147" spans="1:11" ht="24.95" customHeight="1">
      <c r="A147" s="1895"/>
      <c r="B147" s="1895"/>
      <c r="C147" s="403" t="s">
        <v>368</v>
      </c>
      <c r="D147" s="404" t="s">
        <v>1813</v>
      </c>
      <c r="E147" s="405" t="s">
        <v>1872</v>
      </c>
      <c r="F147" s="403" t="s">
        <v>368</v>
      </c>
      <c r="G147" s="404" t="s">
        <v>1813</v>
      </c>
      <c r="H147" s="405" t="s">
        <v>1872</v>
      </c>
      <c r="I147" s="403" t="s">
        <v>368</v>
      </c>
      <c r="J147" s="403" t="s">
        <v>1813</v>
      </c>
      <c r="K147" s="405" t="s">
        <v>1872</v>
      </c>
    </row>
    <row r="148" spans="1:11" ht="24.95" customHeight="1">
      <c r="A148" s="421"/>
      <c r="B148" s="465" t="s">
        <v>1842</v>
      </c>
      <c r="C148" s="414"/>
      <c r="D148" s="411"/>
      <c r="E148" s="412"/>
      <c r="F148" s="414"/>
      <c r="G148" s="411"/>
      <c r="H148" s="412"/>
      <c r="I148" s="414"/>
      <c r="J148" s="414"/>
      <c r="K148" s="412"/>
    </row>
    <row r="149" spans="1:11" ht="24.95" customHeight="1">
      <c r="A149" s="408" t="s">
        <v>171</v>
      </c>
      <c r="B149" s="426" t="s">
        <v>174</v>
      </c>
      <c r="C149" s="455">
        <v>11894</v>
      </c>
      <c r="D149" s="411">
        <f>1077+911+1315+1210+1318+1137</f>
        <v>6968</v>
      </c>
      <c r="E149" s="412">
        <f>D149/C149*100</f>
        <v>58.584160080712962</v>
      </c>
      <c r="F149" s="455"/>
      <c r="G149" s="411"/>
      <c r="H149" s="412" t="e">
        <f>G149/F149*100</f>
        <v>#DIV/0!</v>
      </c>
      <c r="I149" s="445">
        <v>11900</v>
      </c>
      <c r="J149" s="414">
        <f>D149+G149</f>
        <v>6968</v>
      </c>
      <c r="K149" s="412">
        <f>J149/I149*100</f>
        <v>58.554621848739494</v>
      </c>
    </row>
    <row r="150" spans="1:11" ht="24.95" customHeight="1">
      <c r="A150" s="408" t="s">
        <v>172</v>
      </c>
      <c r="B150" s="426" t="s">
        <v>173</v>
      </c>
      <c r="C150" s="455">
        <v>7731</v>
      </c>
      <c r="D150" s="411">
        <f>688+550+690+655+679+615</f>
        <v>3877</v>
      </c>
      <c r="E150" s="412">
        <f t="shared" ref="E150:E153" si="57">D150/C150*100</f>
        <v>50.14875177855388</v>
      </c>
      <c r="F150" s="455"/>
      <c r="G150" s="411"/>
      <c r="H150" s="412" t="e">
        <f t="shared" ref="H150:H153" si="58">G150/F150*100</f>
        <v>#DIV/0!</v>
      </c>
      <c r="I150" s="445">
        <v>7735</v>
      </c>
      <c r="J150" s="414">
        <f t="shared" ref="J150:J153" si="59">D150+G150</f>
        <v>3877</v>
      </c>
      <c r="K150" s="412">
        <f t="shared" ref="K150:K153" si="60">J150/I150*100</f>
        <v>50.122818358112475</v>
      </c>
    </row>
    <row r="151" spans="1:11" ht="24.95" customHeight="1">
      <c r="A151" s="421" t="s">
        <v>1916</v>
      </c>
      <c r="B151" s="426" t="s">
        <v>1917</v>
      </c>
      <c r="C151" s="455">
        <v>16462</v>
      </c>
      <c r="D151" s="411">
        <v>9205</v>
      </c>
      <c r="E151" s="412">
        <f t="shared" si="57"/>
        <v>55.916656542339936</v>
      </c>
      <c r="F151" s="455">
        <v>2870</v>
      </c>
      <c r="G151" s="411">
        <f>250+216+338+258+265+276</f>
        <v>1603</v>
      </c>
      <c r="H151" s="412">
        <f t="shared" si="58"/>
        <v>55.853658536585371</v>
      </c>
      <c r="I151" s="445">
        <v>19340</v>
      </c>
      <c r="J151" s="414">
        <f t="shared" si="59"/>
        <v>10808</v>
      </c>
      <c r="K151" s="412">
        <f t="shared" si="60"/>
        <v>55.884177869700103</v>
      </c>
    </row>
    <row r="152" spans="1:11" ht="24.95" customHeight="1">
      <c r="A152" s="421" t="s">
        <v>1918</v>
      </c>
      <c r="B152" s="422" t="s">
        <v>1919</v>
      </c>
      <c r="C152" s="455">
        <v>1016</v>
      </c>
      <c r="D152" s="411">
        <v>622</v>
      </c>
      <c r="E152" s="412">
        <f t="shared" si="57"/>
        <v>61.220472440944881</v>
      </c>
      <c r="F152" s="455"/>
      <c r="G152" s="411">
        <f>129+168+276</f>
        <v>573</v>
      </c>
      <c r="H152" s="412" t="e">
        <f t="shared" si="58"/>
        <v>#DIV/0!</v>
      </c>
      <c r="I152" s="445">
        <v>1020</v>
      </c>
      <c r="J152" s="414">
        <f t="shared" si="59"/>
        <v>1195</v>
      </c>
      <c r="K152" s="412">
        <f t="shared" si="60"/>
        <v>117.15686274509804</v>
      </c>
    </row>
    <row r="153" spans="1:11" ht="24.95" customHeight="1">
      <c r="A153" s="436" t="s">
        <v>1890</v>
      </c>
      <c r="B153" s="437" t="s">
        <v>1891</v>
      </c>
      <c r="C153" s="455">
        <v>2256</v>
      </c>
      <c r="D153" s="411"/>
      <c r="E153" s="412">
        <f t="shared" si="57"/>
        <v>0</v>
      </c>
      <c r="F153" s="466">
        <v>450</v>
      </c>
      <c r="G153" s="411">
        <f>79+71+75+64+59+54</f>
        <v>402</v>
      </c>
      <c r="H153" s="412">
        <f t="shared" si="58"/>
        <v>89.333333333333329</v>
      </c>
      <c r="I153" s="445">
        <v>2650</v>
      </c>
      <c r="J153" s="414">
        <f t="shared" si="59"/>
        <v>402</v>
      </c>
      <c r="K153" s="412">
        <f t="shared" si="60"/>
        <v>15.169811320754716</v>
      </c>
    </row>
    <row r="154" spans="1:11" ht="24.95" customHeight="1">
      <c r="A154" s="421"/>
      <c r="B154" s="434" t="s">
        <v>2</v>
      </c>
      <c r="C154" s="459">
        <v>39359</v>
      </c>
      <c r="D154" s="463">
        <f>SUM(D149:D153)</f>
        <v>20672</v>
      </c>
      <c r="E154" s="467">
        <f>D154/C154*100</f>
        <v>52.521659595010043</v>
      </c>
      <c r="F154" s="459">
        <v>3320</v>
      </c>
      <c r="G154" s="463">
        <f t="shared" ref="G154:J154" si="61">SUM(G149:G153)</f>
        <v>2578</v>
      </c>
      <c r="H154" s="467">
        <f>G154/F154*100</f>
        <v>77.650602409638552</v>
      </c>
      <c r="I154" s="459">
        <v>42645</v>
      </c>
      <c r="J154" s="463">
        <f t="shared" si="61"/>
        <v>23250</v>
      </c>
      <c r="K154" s="468">
        <f>J154/I154*100</f>
        <v>54.519873373197328</v>
      </c>
    </row>
    <row r="155" spans="1:11" ht="24.95" customHeight="1">
      <c r="A155" s="110"/>
      <c r="B155" s="111" t="s">
        <v>208</v>
      </c>
      <c r="C155" s="1839" t="s">
        <v>1852</v>
      </c>
      <c r="D155" s="1840"/>
      <c r="E155" s="1840"/>
      <c r="F155" s="1840"/>
      <c r="G155" s="1840"/>
      <c r="H155" s="1840"/>
      <c r="I155" s="1840"/>
      <c r="J155" s="1840"/>
      <c r="K155" s="1840"/>
    </row>
    <row r="156" spans="1:11" ht="24.95" customHeight="1">
      <c r="A156" s="110"/>
      <c r="B156" s="111" t="s">
        <v>209</v>
      </c>
      <c r="C156" s="1839">
        <v>17878735</v>
      </c>
      <c r="D156" s="1840"/>
      <c r="E156" s="1840"/>
      <c r="F156" s="1840"/>
      <c r="G156" s="1840"/>
      <c r="H156" s="1840"/>
      <c r="I156" s="1840"/>
      <c r="J156" s="1840"/>
      <c r="K156" s="1840"/>
    </row>
    <row r="157" spans="1:11" ht="24.95" customHeight="1">
      <c r="A157" s="110"/>
      <c r="B157" s="111" t="s">
        <v>211</v>
      </c>
      <c r="C157" s="1839">
        <v>2018</v>
      </c>
      <c r="D157" s="1840"/>
      <c r="E157" s="1840"/>
      <c r="F157" s="1840"/>
      <c r="G157" s="1840"/>
      <c r="H157" s="1840"/>
      <c r="I157" s="1840"/>
      <c r="J157" s="1840"/>
      <c r="K157" s="1840"/>
    </row>
    <row r="158" spans="1:11" ht="24.95" customHeight="1">
      <c r="A158" s="110"/>
      <c r="B158" s="111" t="s">
        <v>210</v>
      </c>
      <c r="C158" s="1830" t="s">
        <v>254</v>
      </c>
      <c r="D158" s="1831"/>
      <c r="E158" s="1831"/>
      <c r="F158" s="1831"/>
      <c r="G158" s="1831"/>
      <c r="H158" s="1831"/>
      <c r="I158" s="1831"/>
      <c r="J158" s="1831"/>
      <c r="K158" s="1831"/>
    </row>
    <row r="159" spans="1:11" ht="24.95" customHeight="1">
      <c r="A159" s="110"/>
      <c r="B159" s="111" t="s">
        <v>251</v>
      </c>
      <c r="C159" s="1900" t="s">
        <v>1920</v>
      </c>
      <c r="D159" s="1901"/>
      <c r="E159" s="1901"/>
      <c r="F159" s="1901"/>
      <c r="G159" s="1901"/>
      <c r="H159" s="1901"/>
      <c r="I159" s="1901"/>
      <c r="J159" s="1901"/>
      <c r="K159" s="1901"/>
    </row>
    <row r="160" spans="1:11" ht="24.95" customHeight="1">
      <c r="A160" s="1884" t="s">
        <v>55</v>
      </c>
      <c r="B160" s="1896" t="s">
        <v>256</v>
      </c>
      <c r="C160" s="1897" t="s">
        <v>262</v>
      </c>
      <c r="D160" s="1898"/>
      <c r="E160" s="1899"/>
      <c r="F160" s="1897" t="s">
        <v>263</v>
      </c>
      <c r="G160" s="1898"/>
      <c r="H160" s="1899"/>
      <c r="I160" s="1897" t="s">
        <v>90</v>
      </c>
      <c r="J160" s="1898"/>
      <c r="K160" s="1899"/>
    </row>
    <row r="161" spans="1:11" ht="24.95" customHeight="1">
      <c r="A161" s="1895"/>
      <c r="B161" s="1895"/>
      <c r="C161" s="403" t="s">
        <v>368</v>
      </c>
      <c r="D161" s="404" t="s">
        <v>1813</v>
      </c>
      <c r="E161" s="405" t="s">
        <v>1872</v>
      </c>
      <c r="F161" s="403" t="s">
        <v>368</v>
      </c>
      <c r="G161" s="404" t="s">
        <v>1813</v>
      </c>
      <c r="H161" s="405" t="s">
        <v>1872</v>
      </c>
      <c r="I161" s="403" t="s">
        <v>368</v>
      </c>
      <c r="J161" s="403" t="s">
        <v>1813</v>
      </c>
      <c r="K161" s="405" t="s">
        <v>1872</v>
      </c>
    </row>
    <row r="162" spans="1:11" ht="24.95" customHeight="1">
      <c r="A162" s="469"/>
      <c r="B162" s="470" t="s">
        <v>1921</v>
      </c>
      <c r="C162" s="471">
        <v>18374</v>
      </c>
      <c r="D162" s="472">
        <f>D163+D164</f>
        <v>10327</v>
      </c>
      <c r="E162" s="412">
        <f>D162/C162*100</f>
        <v>56.204419288124519</v>
      </c>
      <c r="F162" s="471">
        <v>2125</v>
      </c>
      <c r="G162" s="472">
        <f>G163+G164+G165</f>
        <v>80</v>
      </c>
      <c r="H162" s="412">
        <f>G162/F162*100</f>
        <v>3.7647058823529407</v>
      </c>
      <c r="I162" s="471">
        <v>20505</v>
      </c>
      <c r="J162" s="447">
        <f>D162+G162</f>
        <v>10407</v>
      </c>
      <c r="K162" s="412">
        <f>J162/I162*100</f>
        <v>50.753474762253106</v>
      </c>
    </row>
    <row r="163" spans="1:11" ht="24.95" customHeight="1">
      <c r="A163" s="408" t="s">
        <v>171</v>
      </c>
      <c r="B163" s="426" t="s">
        <v>174</v>
      </c>
      <c r="C163" s="453">
        <v>12090</v>
      </c>
      <c r="D163" s="463">
        <v>6872</v>
      </c>
      <c r="E163" s="412">
        <f t="shared" ref="E163:E169" si="62">D163/C163*100</f>
        <v>56.840363937138129</v>
      </c>
      <c r="F163" s="453">
        <v>1160</v>
      </c>
      <c r="G163" s="411"/>
      <c r="H163" s="412">
        <f t="shared" ref="H163:H169" si="63">G163/F163*100</f>
        <v>0</v>
      </c>
      <c r="I163" s="445">
        <v>13250</v>
      </c>
      <c r="J163" s="447">
        <f t="shared" ref="J163:J169" si="64">D163+G163</f>
        <v>6872</v>
      </c>
      <c r="K163" s="412">
        <f t="shared" ref="K163:K169" si="65">J163/I163*100</f>
        <v>51.864150943396226</v>
      </c>
    </row>
    <row r="164" spans="1:11" ht="24.95" customHeight="1">
      <c r="A164" s="408" t="s">
        <v>172</v>
      </c>
      <c r="B164" s="426" t="s">
        <v>1883</v>
      </c>
      <c r="C164" s="453">
        <v>5992</v>
      </c>
      <c r="D164" s="463">
        <f>529+453+614+574+642+643</f>
        <v>3455</v>
      </c>
      <c r="E164" s="412">
        <f t="shared" si="62"/>
        <v>57.660213618157542</v>
      </c>
      <c r="F164" s="453">
        <v>550</v>
      </c>
      <c r="G164" s="411"/>
      <c r="H164" s="412">
        <f t="shared" si="63"/>
        <v>0</v>
      </c>
      <c r="I164" s="445">
        <v>6545</v>
      </c>
      <c r="J164" s="447">
        <f t="shared" si="64"/>
        <v>3455</v>
      </c>
      <c r="K164" s="412">
        <f t="shared" si="65"/>
        <v>52.788388082505733</v>
      </c>
    </row>
    <row r="165" spans="1:11" ht="24.95" customHeight="1">
      <c r="A165" s="421" t="s">
        <v>1890</v>
      </c>
      <c r="B165" s="426" t="s">
        <v>1891</v>
      </c>
      <c r="C165" s="453">
        <v>292</v>
      </c>
      <c r="D165" s="463">
        <v>30</v>
      </c>
      <c r="E165" s="412">
        <f t="shared" si="62"/>
        <v>10.273972602739725</v>
      </c>
      <c r="F165" s="453">
        <v>415</v>
      </c>
      <c r="G165" s="411">
        <v>80</v>
      </c>
      <c r="H165" s="412">
        <f t="shared" si="63"/>
        <v>19.277108433734941</v>
      </c>
      <c r="I165" s="445">
        <v>710</v>
      </c>
      <c r="J165" s="447">
        <f t="shared" si="64"/>
        <v>110</v>
      </c>
      <c r="K165" s="412">
        <f t="shared" si="65"/>
        <v>15.492957746478872</v>
      </c>
    </row>
    <row r="166" spans="1:11" ht="24.95" customHeight="1">
      <c r="A166" s="421"/>
      <c r="B166" s="473" t="s">
        <v>1922</v>
      </c>
      <c r="C166" s="450">
        <v>8258</v>
      </c>
      <c r="D166" s="463">
        <f>D167+D168</f>
        <v>3446</v>
      </c>
      <c r="E166" s="412">
        <f t="shared" si="62"/>
        <v>41.729232259627032</v>
      </c>
      <c r="F166" s="450"/>
      <c r="G166" s="411">
        <v>4</v>
      </c>
      <c r="H166" s="412" t="e">
        <f t="shared" si="63"/>
        <v>#DIV/0!</v>
      </c>
      <c r="I166" s="450">
        <v>8395</v>
      </c>
      <c r="J166" s="447">
        <f t="shared" si="64"/>
        <v>3450</v>
      </c>
      <c r="K166" s="412">
        <f t="shared" si="65"/>
        <v>41.095890410958901</v>
      </c>
    </row>
    <row r="167" spans="1:11" ht="24.95" customHeight="1">
      <c r="A167" s="408" t="s">
        <v>171</v>
      </c>
      <c r="B167" s="426" t="s">
        <v>174</v>
      </c>
      <c r="C167" s="453">
        <v>2484</v>
      </c>
      <c r="D167" s="463">
        <v>973</v>
      </c>
      <c r="E167" s="412">
        <f t="shared" si="62"/>
        <v>39.170692431561996</v>
      </c>
      <c r="F167" s="445"/>
      <c r="G167" s="411"/>
      <c r="H167" s="412" t="e">
        <f t="shared" si="63"/>
        <v>#DIV/0!</v>
      </c>
      <c r="I167" s="445">
        <v>2485</v>
      </c>
      <c r="J167" s="447">
        <f t="shared" si="64"/>
        <v>973</v>
      </c>
      <c r="K167" s="412">
        <f t="shared" si="65"/>
        <v>39.154929577464785</v>
      </c>
    </row>
    <row r="168" spans="1:11" ht="24.95" customHeight="1">
      <c r="A168" s="408" t="s">
        <v>172</v>
      </c>
      <c r="B168" s="426" t="s">
        <v>1883</v>
      </c>
      <c r="C168" s="453">
        <v>5723</v>
      </c>
      <c r="D168" s="463">
        <f>354+361+442+469+400+447</f>
        <v>2473</v>
      </c>
      <c r="E168" s="412">
        <f t="shared" si="62"/>
        <v>43.211602306482618</v>
      </c>
      <c r="F168" s="445"/>
      <c r="G168" s="411"/>
      <c r="H168" s="412" t="e">
        <f t="shared" si="63"/>
        <v>#DIV/0!</v>
      </c>
      <c r="I168" s="445">
        <v>5730</v>
      </c>
      <c r="J168" s="447">
        <f t="shared" si="64"/>
        <v>2473</v>
      </c>
      <c r="K168" s="412">
        <f t="shared" si="65"/>
        <v>43.158813263525303</v>
      </c>
    </row>
    <row r="169" spans="1:11" ht="24.95" customHeight="1">
      <c r="A169" s="421" t="s">
        <v>1890</v>
      </c>
      <c r="B169" s="426" t="s">
        <v>1891</v>
      </c>
      <c r="C169" s="453">
        <v>51</v>
      </c>
      <c r="D169" s="463">
        <v>1</v>
      </c>
      <c r="E169" s="412">
        <f t="shared" si="62"/>
        <v>1.9607843137254901</v>
      </c>
      <c r="F169" s="453">
        <v>125</v>
      </c>
      <c r="G169" s="411">
        <v>4</v>
      </c>
      <c r="H169" s="412">
        <f t="shared" si="63"/>
        <v>3.2</v>
      </c>
      <c r="I169" s="445">
        <v>180</v>
      </c>
      <c r="J169" s="447">
        <f t="shared" si="64"/>
        <v>5</v>
      </c>
      <c r="K169" s="412">
        <f t="shared" si="65"/>
        <v>2.7777777777777777</v>
      </c>
    </row>
    <row r="170" spans="1:11" ht="24.95" customHeight="1">
      <c r="A170" s="421"/>
      <c r="B170" s="434" t="s">
        <v>2</v>
      </c>
      <c r="C170" s="450">
        <v>26632</v>
      </c>
      <c r="D170" s="460">
        <f>D166+D162</f>
        <v>13773</v>
      </c>
      <c r="E170" s="474">
        <f t="shared" ref="E170:J170" si="66">E166+E162</f>
        <v>97.933651547751552</v>
      </c>
      <c r="F170" s="450">
        <v>2125</v>
      </c>
      <c r="G170" s="460">
        <f>G166+G162</f>
        <v>84</v>
      </c>
      <c r="H170" s="475">
        <f>G170/F170*100</f>
        <v>3.9529411764705884</v>
      </c>
      <c r="I170" s="450">
        <v>28900</v>
      </c>
      <c r="J170" s="460">
        <f t="shared" si="66"/>
        <v>13857</v>
      </c>
      <c r="K170" s="476">
        <f>J170/I170*100</f>
        <v>47.948096885813143</v>
      </c>
    </row>
    <row r="171" spans="1:11" ht="24.95" customHeight="1">
      <c r="A171" s="110"/>
      <c r="B171" s="111" t="s">
        <v>208</v>
      </c>
      <c r="C171" s="1839" t="s">
        <v>1852</v>
      </c>
      <c r="D171" s="1840"/>
      <c r="E171" s="1840"/>
      <c r="F171" s="1840"/>
      <c r="G171" s="1840"/>
      <c r="H171" s="1840"/>
      <c r="I171" s="1840"/>
      <c r="J171" s="1840"/>
      <c r="K171" s="1840"/>
    </row>
    <row r="172" spans="1:11" ht="24.95" customHeight="1">
      <c r="A172" s="110"/>
      <c r="B172" s="111" t="s">
        <v>209</v>
      </c>
      <c r="C172" s="1839">
        <v>17878735</v>
      </c>
      <c r="D172" s="1840"/>
      <c r="E172" s="1840"/>
      <c r="F172" s="1840"/>
      <c r="G172" s="1840"/>
      <c r="H172" s="1840"/>
      <c r="I172" s="1840"/>
      <c r="J172" s="1840"/>
      <c r="K172" s="1840"/>
    </row>
    <row r="173" spans="1:11" ht="24.95" customHeight="1">
      <c r="A173" s="110"/>
      <c r="B173" s="111" t="s">
        <v>211</v>
      </c>
      <c r="C173" s="1839">
        <v>2018</v>
      </c>
      <c r="D173" s="1840"/>
      <c r="E173" s="1840"/>
      <c r="F173" s="1840"/>
      <c r="G173" s="1840"/>
      <c r="H173" s="1840"/>
      <c r="I173" s="1840"/>
      <c r="J173" s="1840"/>
      <c r="K173" s="1840"/>
    </row>
    <row r="174" spans="1:11" ht="24.95" customHeight="1">
      <c r="A174" s="110"/>
      <c r="B174" s="111" t="s">
        <v>210</v>
      </c>
      <c r="C174" s="1830" t="s">
        <v>254</v>
      </c>
      <c r="D174" s="1831"/>
      <c r="E174" s="1831"/>
      <c r="F174" s="1831"/>
      <c r="G174" s="1831"/>
      <c r="H174" s="1831"/>
      <c r="I174" s="1831"/>
      <c r="J174" s="1831"/>
      <c r="K174" s="1831"/>
    </row>
    <row r="175" spans="1:11" ht="24.95" customHeight="1">
      <c r="A175" s="110"/>
      <c r="B175" s="111" t="s">
        <v>251</v>
      </c>
      <c r="C175" s="1900" t="s">
        <v>1923</v>
      </c>
      <c r="D175" s="1901"/>
      <c r="E175" s="1901"/>
      <c r="F175" s="1901"/>
      <c r="G175" s="1901"/>
      <c r="H175" s="1901"/>
      <c r="I175" s="1901"/>
      <c r="J175" s="1901"/>
      <c r="K175" s="1901"/>
    </row>
    <row r="176" spans="1:11" ht="24.95" customHeight="1">
      <c r="A176" s="1884" t="s">
        <v>55</v>
      </c>
      <c r="B176" s="1896" t="s">
        <v>256</v>
      </c>
      <c r="C176" s="1897" t="s">
        <v>262</v>
      </c>
      <c r="D176" s="1898"/>
      <c r="E176" s="1899"/>
      <c r="F176" s="1897" t="s">
        <v>263</v>
      </c>
      <c r="G176" s="1898"/>
      <c r="H176" s="1899"/>
      <c r="I176" s="1897" t="s">
        <v>90</v>
      </c>
      <c r="J176" s="1898"/>
      <c r="K176" s="1899"/>
    </row>
    <row r="177" spans="1:11" ht="24.95" customHeight="1">
      <c r="A177" s="1895"/>
      <c r="B177" s="1895"/>
      <c r="C177" s="403" t="s">
        <v>368</v>
      </c>
      <c r="D177" s="404" t="s">
        <v>1813</v>
      </c>
      <c r="E177" s="405" t="s">
        <v>1872</v>
      </c>
      <c r="F177" s="403" t="s">
        <v>368</v>
      </c>
      <c r="G177" s="404" t="s">
        <v>1813</v>
      </c>
      <c r="H177" s="405" t="s">
        <v>1872</v>
      </c>
      <c r="I177" s="403" t="s">
        <v>368</v>
      </c>
      <c r="J177" s="403" t="s">
        <v>1813</v>
      </c>
      <c r="K177" s="405" t="s">
        <v>1872</v>
      </c>
    </row>
    <row r="178" spans="1:11" ht="21">
      <c r="A178" s="421"/>
      <c r="B178" s="465" t="s">
        <v>1832</v>
      </c>
      <c r="C178" s="463"/>
      <c r="D178" s="463"/>
      <c r="E178" s="412"/>
      <c r="F178" s="463"/>
      <c r="G178" s="411"/>
      <c r="H178" s="412"/>
      <c r="I178" s="447"/>
      <c r="J178" s="414"/>
      <c r="K178" s="412"/>
    </row>
    <row r="179" spans="1:11" ht="25.5">
      <c r="A179" s="408" t="s">
        <v>171</v>
      </c>
      <c r="B179" s="426" t="s">
        <v>1924</v>
      </c>
      <c r="C179" s="455">
        <v>8089</v>
      </c>
      <c r="D179" s="463">
        <f>1089+724+855+814+836+610</f>
        <v>4928</v>
      </c>
      <c r="E179" s="412">
        <f>D179/C179*100</f>
        <v>60.922240079119796</v>
      </c>
      <c r="F179" s="455">
        <v>410</v>
      </c>
      <c r="G179" s="411">
        <f>25+21+16+14+7</f>
        <v>83</v>
      </c>
      <c r="H179" s="412">
        <f>G179/F179*100</f>
        <v>20.243902439024392</v>
      </c>
      <c r="I179" s="445">
        <v>8500</v>
      </c>
      <c r="J179" s="447">
        <f>D179+G179</f>
        <v>5011</v>
      </c>
      <c r="K179" s="412">
        <f>J179/I179*100</f>
        <v>58.952941176470588</v>
      </c>
    </row>
    <row r="180" spans="1:11" ht="25.5">
      <c r="A180" s="408" t="s">
        <v>172</v>
      </c>
      <c r="B180" s="426" t="s">
        <v>173</v>
      </c>
      <c r="C180" s="455">
        <v>1175</v>
      </c>
      <c r="D180" s="463">
        <f>146+83+57+95+77</f>
        <v>458</v>
      </c>
      <c r="E180" s="412">
        <f t="shared" ref="E180:E183" si="67">D180/C180*100</f>
        <v>38.978723404255319</v>
      </c>
      <c r="F180" s="455">
        <v>2880</v>
      </c>
      <c r="G180" s="411">
        <v>1536</v>
      </c>
      <c r="H180" s="412">
        <f t="shared" ref="H180:H183" si="68">G180/F180*100</f>
        <v>53.333333333333336</v>
      </c>
      <c r="I180" s="445">
        <v>4055</v>
      </c>
      <c r="J180" s="447">
        <f t="shared" ref="J180:J183" si="69">D180+G180</f>
        <v>1994</v>
      </c>
      <c r="K180" s="412">
        <f t="shared" ref="K180:K183" si="70">J180/I180*100</f>
        <v>49.173859432799013</v>
      </c>
    </row>
    <row r="181" spans="1:11" ht="38.25">
      <c r="A181" s="408" t="s">
        <v>1884</v>
      </c>
      <c r="B181" s="426" t="s">
        <v>1925</v>
      </c>
      <c r="C181" s="455">
        <v>1243</v>
      </c>
      <c r="D181" s="463">
        <f>58+146+129+116+77+147</f>
        <v>673</v>
      </c>
      <c r="E181" s="412">
        <f t="shared" si="67"/>
        <v>54.143201930812545</v>
      </c>
      <c r="F181" s="455">
        <v>455</v>
      </c>
      <c r="G181" s="411">
        <v>120</v>
      </c>
      <c r="H181" s="412">
        <f t="shared" si="68"/>
        <v>26.373626373626376</v>
      </c>
      <c r="I181" s="445">
        <v>1700</v>
      </c>
      <c r="J181" s="447">
        <f t="shared" si="69"/>
        <v>793</v>
      </c>
      <c r="K181" s="412">
        <f t="shared" si="70"/>
        <v>46.647058823529413</v>
      </c>
    </row>
    <row r="182" spans="1:11" ht="38.25">
      <c r="A182" s="408" t="s">
        <v>1886</v>
      </c>
      <c r="B182" s="426" t="s">
        <v>1926</v>
      </c>
      <c r="C182" s="455">
        <v>146</v>
      </c>
      <c r="D182" s="463">
        <f>16+13+9+15+10</f>
        <v>63</v>
      </c>
      <c r="E182" s="412">
        <f t="shared" si="67"/>
        <v>43.150684931506852</v>
      </c>
      <c r="F182" s="455">
        <v>190</v>
      </c>
      <c r="G182" s="411">
        <v>71</v>
      </c>
      <c r="H182" s="412">
        <f t="shared" si="68"/>
        <v>37.368421052631575</v>
      </c>
      <c r="I182" s="445">
        <v>340</v>
      </c>
      <c r="J182" s="447">
        <f t="shared" si="69"/>
        <v>134</v>
      </c>
      <c r="K182" s="412">
        <f t="shared" si="70"/>
        <v>39.411764705882355</v>
      </c>
    </row>
    <row r="183" spans="1:11" ht="42.75">
      <c r="A183" s="477" t="s">
        <v>1890</v>
      </c>
      <c r="B183" s="478" t="s">
        <v>1927</v>
      </c>
      <c r="C183" s="455">
        <v>29</v>
      </c>
      <c r="D183" s="463"/>
      <c r="E183" s="412">
        <f t="shared" si="67"/>
        <v>0</v>
      </c>
      <c r="F183" s="455">
        <v>180</v>
      </c>
      <c r="G183" s="411">
        <v>1</v>
      </c>
      <c r="H183" s="412">
        <f t="shared" si="68"/>
        <v>0.55555555555555558</v>
      </c>
      <c r="I183" s="445">
        <v>210</v>
      </c>
      <c r="J183" s="447">
        <f t="shared" si="69"/>
        <v>1</v>
      </c>
      <c r="K183" s="412">
        <f t="shared" si="70"/>
        <v>0.47619047619047622</v>
      </c>
    </row>
    <row r="184" spans="1:11" ht="15">
      <c r="A184" s="434"/>
      <c r="B184" s="317" t="s">
        <v>1928</v>
      </c>
      <c r="C184" s="459">
        <v>10682</v>
      </c>
      <c r="D184" s="460">
        <f>SUM(D179:D183)</f>
        <v>6122</v>
      </c>
      <c r="E184" s="475">
        <f>D184/C184*100</f>
        <v>57.311364912937655</v>
      </c>
      <c r="F184" s="459">
        <v>4115</v>
      </c>
      <c r="G184" s="460">
        <f t="shared" ref="G184:J184" si="71">SUM(G179:G183)</f>
        <v>1811</v>
      </c>
      <c r="H184" s="475">
        <f>G184/F184*100</f>
        <v>44.009720534629402</v>
      </c>
      <c r="I184" s="459">
        <v>14805</v>
      </c>
      <c r="J184" s="460">
        <f t="shared" si="71"/>
        <v>7933</v>
      </c>
      <c r="K184" s="476">
        <f>J184/I184*100</f>
        <v>53.583248902397841</v>
      </c>
    </row>
    <row r="185" spans="1:11">
      <c r="A185" s="110"/>
      <c r="B185" s="479" t="s">
        <v>208</v>
      </c>
      <c r="C185" s="1839" t="s">
        <v>1852</v>
      </c>
      <c r="D185" s="1840"/>
      <c r="E185" s="1840"/>
      <c r="F185" s="1840"/>
      <c r="G185" s="1840"/>
      <c r="H185" s="1840"/>
      <c r="I185" s="1840"/>
      <c r="J185" s="1840"/>
      <c r="K185" s="1840"/>
    </row>
    <row r="186" spans="1:11">
      <c r="A186" s="110"/>
      <c r="B186" s="111" t="s">
        <v>209</v>
      </c>
      <c r="C186" s="1839">
        <v>17878735</v>
      </c>
      <c r="D186" s="1840"/>
      <c r="E186" s="1840"/>
      <c r="F186" s="1840"/>
      <c r="G186" s="1840"/>
      <c r="H186" s="1840"/>
      <c r="I186" s="1840"/>
      <c r="J186" s="1840"/>
      <c r="K186" s="1840"/>
    </row>
    <row r="187" spans="1:11">
      <c r="A187" s="110"/>
      <c r="B187" s="111" t="s">
        <v>211</v>
      </c>
      <c r="C187" s="1839">
        <v>2018</v>
      </c>
      <c r="D187" s="1840"/>
      <c r="E187" s="1840"/>
      <c r="F187" s="1840"/>
      <c r="G187" s="1840"/>
      <c r="H187" s="1840"/>
      <c r="I187" s="1840"/>
      <c r="J187" s="1840"/>
      <c r="K187" s="1840"/>
    </row>
    <row r="188" spans="1:11" ht="14.25">
      <c r="A188" s="110"/>
      <c r="B188" s="111" t="s">
        <v>210</v>
      </c>
      <c r="C188" s="1830" t="s">
        <v>254</v>
      </c>
      <c r="D188" s="1831"/>
      <c r="E188" s="1831"/>
      <c r="F188" s="1831"/>
      <c r="G188" s="1831"/>
      <c r="H188" s="1831"/>
      <c r="I188" s="1831"/>
      <c r="J188" s="1831"/>
      <c r="K188" s="1831"/>
    </row>
    <row r="189" spans="1:11" ht="19.5">
      <c r="A189" s="110"/>
      <c r="B189" s="111" t="s">
        <v>251</v>
      </c>
      <c r="C189" s="1900" t="s">
        <v>1929</v>
      </c>
      <c r="D189" s="1901"/>
      <c r="E189" s="1901"/>
      <c r="F189" s="1901"/>
      <c r="G189" s="1901"/>
      <c r="H189" s="1901"/>
      <c r="I189" s="1901"/>
      <c r="J189" s="1901"/>
      <c r="K189" s="1901"/>
    </row>
    <row r="190" spans="1:11">
      <c r="A190" s="1884" t="s">
        <v>55</v>
      </c>
      <c r="B190" s="1896" t="s">
        <v>256</v>
      </c>
      <c r="C190" s="1897" t="s">
        <v>262</v>
      </c>
      <c r="D190" s="1898"/>
      <c r="E190" s="1899"/>
      <c r="F190" s="1897" t="s">
        <v>263</v>
      </c>
      <c r="G190" s="1898"/>
      <c r="H190" s="1899"/>
      <c r="I190" s="1897" t="s">
        <v>90</v>
      </c>
      <c r="J190" s="1898"/>
      <c r="K190" s="1899"/>
    </row>
    <row r="191" spans="1:11" ht="45">
      <c r="A191" s="1895"/>
      <c r="B191" s="1895"/>
      <c r="C191" s="403" t="s">
        <v>368</v>
      </c>
      <c r="D191" s="404" t="s">
        <v>1813</v>
      </c>
      <c r="E191" s="405" t="s">
        <v>1872</v>
      </c>
      <c r="F191" s="403" t="s">
        <v>368</v>
      </c>
      <c r="G191" s="404" t="s">
        <v>1813</v>
      </c>
      <c r="H191" s="405" t="s">
        <v>1872</v>
      </c>
      <c r="I191" s="403" t="s">
        <v>368</v>
      </c>
      <c r="J191" s="403" t="s">
        <v>1813</v>
      </c>
      <c r="K191" s="405" t="s">
        <v>1872</v>
      </c>
    </row>
    <row r="192" spans="1:11" ht="31.5">
      <c r="A192" s="421"/>
      <c r="B192" s="465" t="s">
        <v>1930</v>
      </c>
      <c r="C192" s="463"/>
      <c r="D192" s="463"/>
      <c r="E192" s="412"/>
      <c r="F192" s="463"/>
      <c r="G192" s="411"/>
      <c r="H192" s="412"/>
      <c r="I192" s="447"/>
      <c r="J192" s="414"/>
      <c r="K192" s="412"/>
    </row>
    <row r="193" spans="1:11" ht="25.5">
      <c r="A193" s="430" t="s">
        <v>171</v>
      </c>
      <c r="B193" s="431" t="s">
        <v>174</v>
      </c>
      <c r="C193" s="455">
        <v>9465</v>
      </c>
      <c r="D193" s="463">
        <v>13115</v>
      </c>
      <c r="E193" s="412">
        <f>D193/C193*100</f>
        <v>138.56312731114633</v>
      </c>
      <c r="F193" s="455">
        <v>2890</v>
      </c>
      <c r="G193" s="411">
        <v>3664</v>
      </c>
      <c r="H193" s="412">
        <f>G193/F193*100</f>
        <v>126.78200692041524</v>
      </c>
      <c r="I193" s="445">
        <v>12355</v>
      </c>
      <c r="J193" s="447">
        <f>D193+G193</f>
        <v>16779</v>
      </c>
      <c r="K193" s="412">
        <f>J193/I193*100</f>
        <v>135.80736543909347</v>
      </c>
    </row>
    <row r="194" spans="1:11" ht="25.5">
      <c r="A194" s="430" t="s">
        <v>172</v>
      </c>
      <c r="B194" s="431" t="s">
        <v>1895</v>
      </c>
      <c r="C194" s="455">
        <v>10</v>
      </c>
      <c r="D194" s="463">
        <f>3+3+1</f>
        <v>7</v>
      </c>
      <c r="E194" s="412">
        <f t="shared" ref="E194:E195" si="72">D194/C194*100</f>
        <v>70</v>
      </c>
      <c r="F194" s="455">
        <v>2</v>
      </c>
      <c r="G194" s="411">
        <v>1</v>
      </c>
      <c r="H194" s="412">
        <f t="shared" ref="H194:H195" si="73">G194/F194*100</f>
        <v>50</v>
      </c>
      <c r="I194" s="445">
        <v>12</v>
      </c>
      <c r="J194" s="447">
        <f t="shared" ref="J194:J195" si="74">D194+G194</f>
        <v>8</v>
      </c>
      <c r="K194" s="412">
        <f t="shared" ref="K194:K195" si="75">J194/I194*100</f>
        <v>66.666666666666657</v>
      </c>
    </row>
    <row r="195" spans="1:11">
      <c r="A195" s="421"/>
      <c r="B195" s="434" t="s">
        <v>2</v>
      </c>
      <c r="C195" s="459">
        <v>9475</v>
      </c>
      <c r="D195" s="480">
        <f>SUM(D193:D194)</f>
        <v>13122</v>
      </c>
      <c r="E195" s="412">
        <f t="shared" si="72"/>
        <v>138.49076517150397</v>
      </c>
      <c r="F195" s="459">
        <v>2892</v>
      </c>
      <c r="G195" s="411">
        <f>SUM(G193:G194)</f>
        <v>3665</v>
      </c>
      <c r="H195" s="412">
        <f t="shared" si="73"/>
        <v>126.72890733056707</v>
      </c>
      <c r="I195" s="459">
        <v>12367</v>
      </c>
      <c r="J195" s="447">
        <f t="shared" si="74"/>
        <v>16787</v>
      </c>
      <c r="K195" s="412">
        <f t="shared" si="75"/>
        <v>135.74027654241127</v>
      </c>
    </row>
    <row r="196" spans="1:11">
      <c r="A196" s="1902"/>
      <c r="B196" s="1903"/>
      <c r="C196" s="1903"/>
      <c r="D196" s="1903"/>
      <c r="E196" s="1903"/>
      <c r="F196" s="1903"/>
      <c r="G196" s="1903"/>
      <c r="H196" s="1903"/>
      <c r="I196" s="1903"/>
      <c r="J196" s="1903"/>
      <c r="K196" s="1904"/>
    </row>
    <row r="197" spans="1:11">
      <c r="A197" s="1905" t="s">
        <v>255</v>
      </c>
      <c r="B197" s="1906"/>
      <c r="C197" s="1906"/>
      <c r="D197" s="1906"/>
      <c r="E197" s="1906"/>
      <c r="F197" s="1906"/>
      <c r="G197" s="1906"/>
      <c r="H197" s="1906"/>
      <c r="I197" s="1906"/>
      <c r="J197" s="1906"/>
      <c r="K197" s="1906"/>
    </row>
    <row r="198" spans="1:11" ht="25.5">
      <c r="A198" s="481" t="s">
        <v>171</v>
      </c>
      <c r="B198" s="482" t="s">
        <v>174</v>
      </c>
      <c r="C198" s="483">
        <v>13100</v>
      </c>
      <c r="D198" s="484">
        <f>92+84+6+108+5+100+52</f>
        <v>447</v>
      </c>
      <c r="E198" s="485">
        <f>D198/C198*100</f>
        <v>3.4122137404580153</v>
      </c>
      <c r="F198" s="486"/>
      <c r="G198" s="487"/>
      <c r="H198" s="485"/>
      <c r="I198" s="483">
        <v>13100</v>
      </c>
      <c r="J198" s="486">
        <f>D198+G198</f>
        <v>447</v>
      </c>
      <c r="K198" s="485">
        <f>J198/I198*100</f>
        <v>3.4122137404580153</v>
      </c>
    </row>
    <row r="199" spans="1:11" ht="25.5">
      <c r="A199" s="481" t="s">
        <v>172</v>
      </c>
      <c r="B199" s="482" t="s">
        <v>173</v>
      </c>
      <c r="C199" s="483">
        <f>13100*10%</f>
        <v>1310</v>
      </c>
      <c r="D199" s="484"/>
      <c r="E199" s="485">
        <f t="shared" ref="E199:E200" si="76">D199/C199*100</f>
        <v>0</v>
      </c>
      <c r="F199" s="486"/>
      <c r="G199" s="487"/>
      <c r="H199" s="485"/>
      <c r="I199" s="483">
        <f>13100*10%</f>
        <v>1310</v>
      </c>
      <c r="J199" s="486">
        <f t="shared" ref="J199:J200" si="77">D199+G199</f>
        <v>0</v>
      </c>
      <c r="K199" s="485">
        <f t="shared" ref="K199:K200" si="78">J199/I199*100</f>
        <v>0</v>
      </c>
    </row>
    <row r="200" spans="1:11" ht="15">
      <c r="A200" s="488"/>
      <c r="B200" s="489" t="s">
        <v>1931</v>
      </c>
      <c r="C200" s="490">
        <f t="shared" ref="C200" si="79">SUM(C198:C199)</f>
        <v>14410</v>
      </c>
      <c r="D200" s="487"/>
      <c r="E200" s="485">
        <f t="shared" si="76"/>
        <v>0</v>
      </c>
      <c r="F200" s="486"/>
      <c r="G200" s="487"/>
      <c r="H200" s="485"/>
      <c r="I200" s="490">
        <f t="shared" ref="I200" si="80">SUM(I198:I199)</f>
        <v>14410</v>
      </c>
      <c r="J200" s="486">
        <f t="shared" si="77"/>
        <v>0</v>
      </c>
      <c r="K200" s="485">
        <f t="shared" si="78"/>
        <v>0</v>
      </c>
    </row>
    <row r="201" spans="1:11">
      <c r="A201" s="110"/>
      <c r="B201" s="111" t="s">
        <v>208</v>
      </c>
      <c r="C201" s="1839" t="s">
        <v>1852</v>
      </c>
      <c r="D201" s="1840"/>
      <c r="E201" s="1840"/>
      <c r="F201" s="1840"/>
      <c r="G201" s="1840"/>
      <c r="H201" s="1840"/>
      <c r="I201" s="1840"/>
      <c r="J201" s="1840"/>
      <c r="K201" s="1840"/>
    </row>
    <row r="202" spans="1:11">
      <c r="A202" s="110"/>
      <c r="B202" s="111" t="s">
        <v>209</v>
      </c>
      <c r="C202" s="1839">
        <v>17878735</v>
      </c>
      <c r="D202" s="1840"/>
      <c r="E202" s="1840"/>
      <c r="F202" s="1840"/>
      <c r="G202" s="1840"/>
      <c r="H202" s="1840"/>
      <c r="I202" s="1840"/>
      <c r="J202" s="1840"/>
      <c r="K202" s="1840"/>
    </row>
    <row r="203" spans="1:11">
      <c r="A203" s="110"/>
      <c r="B203" s="111" t="s">
        <v>211</v>
      </c>
      <c r="C203" s="1839">
        <v>2018</v>
      </c>
      <c r="D203" s="1840"/>
      <c r="E203" s="1840"/>
      <c r="F203" s="1840"/>
      <c r="G203" s="1840"/>
      <c r="H203" s="1840"/>
      <c r="I203" s="1840"/>
      <c r="J203" s="1840"/>
      <c r="K203" s="1840"/>
    </row>
    <row r="204" spans="1:11" ht="14.25">
      <c r="A204" s="110"/>
      <c r="B204" s="111" t="s">
        <v>210</v>
      </c>
      <c r="C204" s="1830" t="s">
        <v>254</v>
      </c>
      <c r="D204" s="1831"/>
      <c r="E204" s="1831"/>
      <c r="F204" s="1831"/>
      <c r="G204" s="1831"/>
      <c r="H204" s="1831"/>
      <c r="I204" s="1831"/>
      <c r="J204" s="1831"/>
      <c r="K204" s="1831"/>
    </row>
    <row r="205" spans="1:11" ht="19.5">
      <c r="A205" s="110"/>
      <c r="B205" s="111" t="s">
        <v>251</v>
      </c>
      <c r="C205" s="1900" t="s">
        <v>1932</v>
      </c>
      <c r="D205" s="1901"/>
      <c r="E205" s="1901"/>
      <c r="F205" s="1901"/>
      <c r="G205" s="1901"/>
      <c r="H205" s="1901"/>
      <c r="I205" s="1901"/>
      <c r="J205" s="1901"/>
      <c r="K205" s="1901"/>
    </row>
    <row r="206" spans="1:11">
      <c r="A206" s="1884" t="s">
        <v>55</v>
      </c>
      <c r="B206" s="1896" t="s">
        <v>256</v>
      </c>
      <c r="C206" s="1897" t="s">
        <v>262</v>
      </c>
      <c r="D206" s="1898"/>
      <c r="E206" s="1899"/>
      <c r="F206" s="1897" t="s">
        <v>263</v>
      </c>
      <c r="G206" s="1898"/>
      <c r="H206" s="1899"/>
      <c r="I206" s="1897" t="s">
        <v>90</v>
      </c>
      <c r="J206" s="1898"/>
      <c r="K206" s="1899"/>
    </row>
    <row r="207" spans="1:11" ht="45">
      <c r="A207" s="1895"/>
      <c r="B207" s="1895"/>
      <c r="C207" s="403" t="s">
        <v>368</v>
      </c>
      <c r="D207" s="404" t="s">
        <v>1813</v>
      </c>
      <c r="E207" s="405" t="s">
        <v>1872</v>
      </c>
      <c r="F207" s="403" t="s">
        <v>368</v>
      </c>
      <c r="G207" s="404" t="s">
        <v>1813</v>
      </c>
      <c r="H207" s="405" t="s">
        <v>1872</v>
      </c>
      <c r="I207" s="403" t="s">
        <v>368</v>
      </c>
      <c r="J207" s="403" t="s">
        <v>1813</v>
      </c>
      <c r="K207" s="405" t="s">
        <v>1872</v>
      </c>
    </row>
    <row r="208" spans="1:11" ht="21">
      <c r="A208" s="421"/>
      <c r="B208" s="465" t="s">
        <v>1838</v>
      </c>
      <c r="C208" s="463"/>
      <c r="D208" s="463"/>
      <c r="E208" s="412"/>
      <c r="F208" s="445"/>
      <c r="G208" s="411"/>
      <c r="H208" s="412"/>
      <c r="I208" s="447"/>
      <c r="J208" s="414"/>
      <c r="K208" s="412"/>
    </row>
    <row r="209" spans="1:11" ht="25.5">
      <c r="A209" s="408" t="s">
        <v>171</v>
      </c>
      <c r="B209" s="426" t="s">
        <v>174</v>
      </c>
      <c r="C209" s="455">
        <v>4345</v>
      </c>
      <c r="D209" s="463">
        <f>499+389+456+415+409+404</f>
        <v>2572</v>
      </c>
      <c r="E209" s="412">
        <f>D209/C209*100</f>
        <v>59.194476409666287</v>
      </c>
      <c r="F209" s="445"/>
      <c r="G209" s="411"/>
      <c r="H209" s="412" t="e">
        <f>G209/F209*100</f>
        <v>#DIV/0!</v>
      </c>
      <c r="I209" s="445">
        <v>4345</v>
      </c>
      <c r="J209" s="447">
        <f>D209+G209</f>
        <v>2572</v>
      </c>
      <c r="K209" s="412">
        <f>J209/I209*100</f>
        <v>59.194476409666287</v>
      </c>
    </row>
    <row r="210" spans="1:11">
      <c r="A210" s="408" t="s">
        <v>172</v>
      </c>
      <c r="B210" s="491" t="s">
        <v>173</v>
      </c>
      <c r="C210" s="455">
        <v>13395</v>
      </c>
      <c r="D210" s="463">
        <f>1079+871+1062+982+1097+963</f>
        <v>6054</v>
      </c>
      <c r="E210" s="412">
        <f t="shared" ref="E210:E211" si="81">D210/C210*100</f>
        <v>45.195968645016798</v>
      </c>
      <c r="F210" s="445"/>
      <c r="G210" s="411"/>
      <c r="H210" s="412"/>
      <c r="I210" s="445">
        <v>13395</v>
      </c>
      <c r="J210" s="447">
        <f t="shared" ref="J210:J211" si="82">D210+G210</f>
        <v>6054</v>
      </c>
      <c r="K210" s="412">
        <f t="shared" ref="K210:K211" si="83">J210/I210*100</f>
        <v>45.195968645016798</v>
      </c>
    </row>
    <row r="211" spans="1:11" ht="38.25">
      <c r="A211" s="421" t="s">
        <v>1933</v>
      </c>
      <c r="B211" s="437" t="s">
        <v>1891</v>
      </c>
      <c r="C211" s="455">
        <v>40</v>
      </c>
      <c r="D211" s="463">
        <f>5+3</f>
        <v>8</v>
      </c>
      <c r="E211" s="412">
        <f t="shared" si="81"/>
        <v>20</v>
      </c>
      <c r="F211" s="455">
        <v>520</v>
      </c>
      <c r="G211" s="411"/>
      <c r="H211" s="412"/>
      <c r="I211" s="445">
        <v>560</v>
      </c>
      <c r="J211" s="447">
        <f t="shared" si="82"/>
        <v>8</v>
      </c>
      <c r="K211" s="412">
        <f t="shared" si="83"/>
        <v>1.4285714285714286</v>
      </c>
    </row>
    <row r="212" spans="1:11">
      <c r="A212" s="421"/>
      <c r="B212" s="434" t="s">
        <v>2</v>
      </c>
      <c r="C212" s="459">
        <v>17780</v>
      </c>
      <c r="D212" s="463">
        <f>SUM(D209:D211)</f>
        <v>8634</v>
      </c>
      <c r="E212" s="467">
        <f>D212/C212*100</f>
        <v>48.560179977502813</v>
      </c>
      <c r="F212" s="459">
        <v>520</v>
      </c>
      <c r="G212" s="463">
        <f t="shared" ref="G212:H212" si="84">SUM(G209:G211)</f>
        <v>0</v>
      </c>
      <c r="H212" s="463" t="e">
        <f t="shared" si="84"/>
        <v>#DIV/0!</v>
      </c>
      <c r="I212" s="459">
        <v>18300</v>
      </c>
      <c r="J212" s="463">
        <f>SUM(J209:J211)</f>
        <v>8634</v>
      </c>
      <c r="K212" s="468">
        <f>J212/I212*100</f>
        <v>47.180327868852459</v>
      </c>
    </row>
    <row r="213" spans="1:11">
      <c r="A213" s="110"/>
      <c r="B213" s="111" t="s">
        <v>208</v>
      </c>
      <c r="C213" s="1839" t="s">
        <v>1852</v>
      </c>
      <c r="D213" s="1840"/>
      <c r="E213" s="1840"/>
      <c r="F213" s="1840"/>
      <c r="G213" s="1840"/>
      <c r="H213" s="1840"/>
      <c r="I213" s="1840"/>
      <c r="J213" s="1840"/>
      <c r="K213" s="1840"/>
    </row>
    <row r="214" spans="1:11">
      <c r="A214" s="110"/>
      <c r="B214" s="111" t="s">
        <v>209</v>
      </c>
      <c r="C214" s="1839">
        <v>17878735</v>
      </c>
      <c r="D214" s="1840"/>
      <c r="E214" s="1840"/>
      <c r="F214" s="1840"/>
      <c r="G214" s="1840"/>
      <c r="H214" s="1840"/>
      <c r="I214" s="1840"/>
      <c r="J214" s="1840"/>
      <c r="K214" s="1840"/>
    </row>
    <row r="215" spans="1:11">
      <c r="A215" s="110"/>
      <c r="B215" s="111" t="s">
        <v>211</v>
      </c>
      <c r="C215" s="1839">
        <v>2018</v>
      </c>
      <c r="D215" s="1840"/>
      <c r="E215" s="1840"/>
      <c r="F215" s="1840"/>
      <c r="G215" s="1840"/>
      <c r="H215" s="1840"/>
      <c r="I215" s="1840"/>
      <c r="J215" s="1840"/>
      <c r="K215" s="1840"/>
    </row>
    <row r="216" spans="1:11" ht="14.25">
      <c r="A216" s="110"/>
      <c r="B216" s="111" t="s">
        <v>210</v>
      </c>
      <c r="C216" s="1830" t="s">
        <v>254</v>
      </c>
      <c r="D216" s="1831"/>
      <c r="E216" s="1831"/>
      <c r="F216" s="1831"/>
      <c r="G216" s="1831"/>
      <c r="H216" s="1831"/>
      <c r="I216" s="1831"/>
      <c r="J216" s="1831"/>
      <c r="K216" s="1831"/>
    </row>
    <row r="217" spans="1:11" ht="19.5">
      <c r="A217" s="110"/>
      <c r="B217" s="111" t="s">
        <v>251</v>
      </c>
      <c r="C217" s="1900" t="s">
        <v>1934</v>
      </c>
      <c r="D217" s="1901"/>
      <c r="E217" s="1901"/>
      <c r="F217" s="1901"/>
      <c r="G217" s="1901"/>
      <c r="H217" s="1901"/>
      <c r="I217" s="1901"/>
      <c r="J217" s="1901"/>
      <c r="K217" s="1901"/>
    </row>
    <row r="218" spans="1:11">
      <c r="A218" s="1884" t="s">
        <v>55</v>
      </c>
      <c r="B218" s="1896" t="s">
        <v>256</v>
      </c>
      <c r="C218" s="1897" t="s">
        <v>262</v>
      </c>
      <c r="D218" s="1898"/>
      <c r="E218" s="1899"/>
      <c r="F218" s="1897" t="s">
        <v>263</v>
      </c>
      <c r="G218" s="1898"/>
      <c r="H218" s="1899"/>
      <c r="I218" s="1897" t="s">
        <v>90</v>
      </c>
      <c r="J218" s="1898"/>
      <c r="K218" s="1899"/>
    </row>
    <row r="219" spans="1:11" ht="45">
      <c r="A219" s="1895"/>
      <c r="B219" s="1895"/>
      <c r="C219" s="403" t="s">
        <v>368</v>
      </c>
      <c r="D219" s="404" t="s">
        <v>1813</v>
      </c>
      <c r="E219" s="405" t="s">
        <v>1872</v>
      </c>
      <c r="F219" s="403" t="s">
        <v>368</v>
      </c>
      <c r="G219" s="404" t="s">
        <v>1813</v>
      </c>
      <c r="H219" s="405" t="s">
        <v>1872</v>
      </c>
      <c r="I219" s="403" t="s">
        <v>368</v>
      </c>
      <c r="J219" s="403" t="s">
        <v>1813</v>
      </c>
      <c r="K219" s="405" t="s">
        <v>1872</v>
      </c>
    </row>
    <row r="220" spans="1:11" ht="31.5">
      <c r="A220" s="421"/>
      <c r="B220" s="465" t="s">
        <v>1935</v>
      </c>
      <c r="C220" s="463"/>
      <c r="D220" s="463"/>
      <c r="E220" s="412"/>
      <c r="F220" s="463"/>
      <c r="G220" s="411"/>
      <c r="H220" s="412"/>
      <c r="I220" s="447"/>
      <c r="J220" s="414"/>
      <c r="K220" s="412"/>
    </row>
    <row r="221" spans="1:11" ht="25.5">
      <c r="A221" s="492" t="s">
        <v>171</v>
      </c>
      <c r="B221" s="493" t="s">
        <v>1924</v>
      </c>
      <c r="C221" s="455">
        <v>1560</v>
      </c>
      <c r="D221" s="463">
        <v>1054</v>
      </c>
      <c r="E221" s="412">
        <f>D221/C221*100</f>
        <v>67.564102564102569</v>
      </c>
      <c r="F221" s="445"/>
      <c r="G221" s="411"/>
      <c r="H221" s="412" t="e">
        <f>G221/F221*100</f>
        <v>#DIV/0!</v>
      </c>
      <c r="I221" s="445">
        <v>1560</v>
      </c>
      <c r="J221" s="447">
        <f>D221+G221</f>
        <v>1054</v>
      </c>
      <c r="K221" s="412">
        <f>J221/I221*100</f>
        <v>67.564102564102569</v>
      </c>
    </row>
    <row r="222" spans="1:11" ht="25.5">
      <c r="A222" s="492" t="s">
        <v>172</v>
      </c>
      <c r="B222" s="493" t="s">
        <v>173</v>
      </c>
      <c r="C222" s="455">
        <v>1440</v>
      </c>
      <c r="D222" s="463">
        <f>52+87+94+107+136+127</f>
        <v>603</v>
      </c>
      <c r="E222" s="412">
        <f t="shared" ref="E222:E223" si="85">D222/C222*100</f>
        <v>41.875</v>
      </c>
      <c r="F222" s="445"/>
      <c r="G222" s="411"/>
      <c r="H222" s="412" t="e">
        <f t="shared" ref="H222:H223" si="86">G222/F222*100</f>
        <v>#DIV/0!</v>
      </c>
      <c r="I222" s="445">
        <v>1440</v>
      </c>
      <c r="J222" s="447">
        <f t="shared" ref="J222:J224" si="87">D222+G222</f>
        <v>603</v>
      </c>
      <c r="K222" s="412">
        <f t="shared" ref="K222:K223" si="88">J222/I222*100</f>
        <v>41.875</v>
      </c>
    </row>
    <row r="223" spans="1:11" ht="38.25">
      <c r="A223" s="441" t="s">
        <v>1890</v>
      </c>
      <c r="B223" s="442" t="s">
        <v>1891</v>
      </c>
      <c r="C223" s="455"/>
      <c r="D223" s="411">
        <v>163</v>
      </c>
      <c r="E223" s="412" t="e">
        <f t="shared" si="85"/>
        <v>#DIV/0!</v>
      </c>
      <c r="F223" s="455">
        <v>325</v>
      </c>
      <c r="G223" s="411">
        <v>741</v>
      </c>
      <c r="H223" s="412">
        <f t="shared" si="86"/>
        <v>227.99999999999997</v>
      </c>
      <c r="I223" s="445">
        <v>325</v>
      </c>
      <c r="J223" s="447">
        <f t="shared" si="87"/>
        <v>904</v>
      </c>
      <c r="K223" s="412">
        <f t="shared" si="88"/>
        <v>278.15384615384613</v>
      </c>
    </row>
    <row r="224" spans="1:11">
      <c r="A224" s="421"/>
      <c r="B224" s="434" t="s">
        <v>2</v>
      </c>
      <c r="C224" s="459">
        <v>3000</v>
      </c>
      <c r="D224" s="494">
        <f>SUM(D221:D223)</f>
        <v>1820</v>
      </c>
      <c r="E224" s="495">
        <f>D224/C224*100</f>
        <v>60.666666666666671</v>
      </c>
      <c r="F224" s="459">
        <v>325</v>
      </c>
      <c r="G224" s="494">
        <f t="shared" ref="G224" si="89">SUM(G221:G223)</f>
        <v>741</v>
      </c>
      <c r="H224" s="495">
        <f>G224/F224*100</f>
        <v>227.99999999999997</v>
      </c>
      <c r="I224" s="459">
        <v>3325</v>
      </c>
      <c r="J224" s="494">
        <f t="shared" si="87"/>
        <v>2561</v>
      </c>
      <c r="K224" s="424">
        <f>J224/I224*100</f>
        <v>77.022556390977442</v>
      </c>
    </row>
    <row r="225" spans="1:11">
      <c r="A225" s="110"/>
      <c r="B225" s="111" t="s">
        <v>208</v>
      </c>
      <c r="C225" s="1839" t="s">
        <v>1852</v>
      </c>
      <c r="D225" s="1840"/>
      <c r="E225" s="1840"/>
      <c r="F225" s="1840"/>
      <c r="G225" s="1840"/>
      <c r="H225" s="1840"/>
      <c r="I225" s="1840"/>
      <c r="J225" s="1840"/>
      <c r="K225" s="1840"/>
    </row>
    <row r="226" spans="1:11">
      <c r="A226" s="110"/>
      <c r="B226" s="111" t="s">
        <v>209</v>
      </c>
      <c r="C226" s="1839">
        <v>17878735</v>
      </c>
      <c r="D226" s="1840"/>
      <c r="E226" s="1840"/>
      <c r="F226" s="1840"/>
      <c r="G226" s="1840"/>
      <c r="H226" s="1840"/>
      <c r="I226" s="1840"/>
      <c r="J226" s="1840"/>
      <c r="K226" s="1840"/>
    </row>
    <row r="227" spans="1:11">
      <c r="A227" s="110"/>
      <c r="B227" s="111" t="s">
        <v>211</v>
      </c>
      <c r="C227" s="1839">
        <v>2018</v>
      </c>
      <c r="D227" s="1840"/>
      <c r="E227" s="1840"/>
      <c r="F227" s="1840"/>
      <c r="G227" s="1840"/>
      <c r="H227" s="1840"/>
      <c r="I227" s="1840"/>
      <c r="J227" s="1840"/>
      <c r="K227" s="1840"/>
    </row>
    <row r="228" spans="1:11" ht="14.25">
      <c r="A228" s="110"/>
      <c r="B228" s="111" t="s">
        <v>210</v>
      </c>
      <c r="C228" s="1830" t="s">
        <v>254</v>
      </c>
      <c r="D228" s="1831"/>
      <c r="E228" s="1831"/>
      <c r="F228" s="1831"/>
      <c r="G228" s="1831"/>
      <c r="H228" s="1831"/>
      <c r="I228" s="1831"/>
      <c r="J228" s="1831"/>
      <c r="K228" s="1831"/>
    </row>
    <row r="229" spans="1:11" ht="19.5">
      <c r="A229" s="110"/>
      <c r="B229" s="111" t="s">
        <v>251</v>
      </c>
      <c r="C229" s="1900" t="s">
        <v>1936</v>
      </c>
      <c r="D229" s="1901"/>
      <c r="E229" s="1901"/>
      <c r="F229" s="1901"/>
      <c r="G229" s="1901"/>
      <c r="H229" s="1901"/>
      <c r="I229" s="1901"/>
      <c r="J229" s="1901"/>
      <c r="K229" s="1901"/>
    </row>
    <row r="230" spans="1:11">
      <c r="A230" s="1884" t="s">
        <v>55</v>
      </c>
      <c r="B230" s="1896" t="s">
        <v>256</v>
      </c>
      <c r="C230" s="1897" t="s">
        <v>262</v>
      </c>
      <c r="D230" s="1898"/>
      <c r="E230" s="1899"/>
      <c r="F230" s="1897" t="s">
        <v>263</v>
      </c>
      <c r="G230" s="1898"/>
      <c r="H230" s="1899"/>
      <c r="I230" s="1897" t="s">
        <v>90</v>
      </c>
      <c r="J230" s="1898"/>
      <c r="K230" s="1899"/>
    </row>
    <row r="231" spans="1:11" ht="45">
      <c r="A231" s="1895"/>
      <c r="B231" s="1895"/>
      <c r="C231" s="403" t="s">
        <v>368</v>
      </c>
      <c r="D231" s="404" t="s">
        <v>1813</v>
      </c>
      <c r="E231" s="405" t="s">
        <v>1872</v>
      </c>
      <c r="F231" s="403" t="s">
        <v>368</v>
      </c>
      <c r="G231" s="404" t="s">
        <v>1813</v>
      </c>
      <c r="H231" s="405" t="s">
        <v>1872</v>
      </c>
      <c r="I231" s="403" t="s">
        <v>368</v>
      </c>
      <c r="J231" s="403" t="s">
        <v>1813</v>
      </c>
      <c r="K231" s="405" t="s">
        <v>1872</v>
      </c>
    </row>
    <row r="232" spans="1:11">
      <c r="A232" s="421"/>
      <c r="B232" s="496" t="s">
        <v>1937</v>
      </c>
      <c r="C232" s="497">
        <v>32374</v>
      </c>
      <c r="D232" s="498">
        <f>D233+D234+D235+D236</f>
        <v>15154</v>
      </c>
      <c r="E232" s="499">
        <f>D232/C232*100</f>
        <v>46.80916785074443</v>
      </c>
      <c r="F232" s="497">
        <v>2460</v>
      </c>
      <c r="G232" s="498">
        <f t="shared" ref="G232:J232" si="90">G233+G234+G235+G236</f>
        <v>0</v>
      </c>
      <c r="H232" s="498">
        <f>G232/F232*100</f>
        <v>0</v>
      </c>
      <c r="I232" s="497">
        <v>34840</v>
      </c>
      <c r="J232" s="498">
        <f t="shared" si="90"/>
        <v>15154</v>
      </c>
      <c r="K232" s="500">
        <f>J232/I232*100</f>
        <v>43.495981630309984</v>
      </c>
    </row>
    <row r="233" spans="1:11" ht="25.5">
      <c r="A233" s="501" t="s">
        <v>171</v>
      </c>
      <c r="B233" s="502" t="s">
        <v>174</v>
      </c>
      <c r="C233" s="503">
        <v>10320</v>
      </c>
      <c r="D233" s="411">
        <v>4518</v>
      </c>
      <c r="E233" s="424">
        <f>D233/C233*100</f>
        <v>43.779069767441861</v>
      </c>
      <c r="F233" s="445"/>
      <c r="G233" s="411"/>
      <c r="H233" s="498" t="e">
        <f t="shared" ref="H233:H237" si="91">G233/F233*100</f>
        <v>#DIV/0!</v>
      </c>
      <c r="I233" s="459">
        <v>10320</v>
      </c>
      <c r="J233" s="494">
        <f t="shared" ref="J233:J237" si="92">G233+D233</f>
        <v>4518</v>
      </c>
      <c r="K233" s="424">
        <f t="shared" ref="K233:K247" si="93">J233/I233*100</f>
        <v>43.779069767441861</v>
      </c>
    </row>
    <row r="234" spans="1:11" ht="25.5">
      <c r="A234" s="504" t="s">
        <v>172</v>
      </c>
      <c r="B234" s="502" t="s">
        <v>1883</v>
      </c>
      <c r="C234" s="503">
        <v>13974</v>
      </c>
      <c r="D234" s="411">
        <v>5208</v>
      </c>
      <c r="E234" s="424">
        <f t="shared" ref="E234:E238" si="94">D234/C234*100</f>
        <v>37.269214255045085</v>
      </c>
      <c r="F234" s="445"/>
      <c r="G234" s="411"/>
      <c r="H234" s="498" t="e">
        <f t="shared" si="91"/>
        <v>#DIV/0!</v>
      </c>
      <c r="I234" s="459">
        <v>13975</v>
      </c>
      <c r="J234" s="494">
        <f t="shared" si="92"/>
        <v>5208</v>
      </c>
      <c r="K234" s="424">
        <f t="shared" si="93"/>
        <v>37.266547406082289</v>
      </c>
    </row>
    <row r="235" spans="1:11" ht="38.25">
      <c r="A235" s="504" t="s">
        <v>1884</v>
      </c>
      <c r="B235" s="502" t="s">
        <v>1911</v>
      </c>
      <c r="C235" s="503">
        <v>3817</v>
      </c>
      <c r="D235" s="411">
        <v>2677</v>
      </c>
      <c r="E235" s="424">
        <f t="shared" si="94"/>
        <v>70.133612784909616</v>
      </c>
      <c r="F235" s="445"/>
      <c r="G235" s="411"/>
      <c r="H235" s="498" t="e">
        <f t="shared" si="91"/>
        <v>#DIV/0!</v>
      </c>
      <c r="I235" s="459">
        <v>3820</v>
      </c>
      <c r="J235" s="494">
        <f t="shared" si="92"/>
        <v>2677</v>
      </c>
      <c r="K235" s="424">
        <f t="shared" si="93"/>
        <v>70.078534031413611</v>
      </c>
    </row>
    <row r="236" spans="1:11" ht="38.25">
      <c r="A236" s="504" t="s">
        <v>1886</v>
      </c>
      <c r="B236" s="502" t="s">
        <v>1912</v>
      </c>
      <c r="C236" s="503">
        <v>3865</v>
      </c>
      <c r="D236" s="505">
        <v>2751</v>
      </c>
      <c r="E236" s="424">
        <f t="shared" si="94"/>
        <v>71.177231565329876</v>
      </c>
      <c r="F236" s="445"/>
      <c r="G236" s="505"/>
      <c r="H236" s="498" t="e">
        <f t="shared" si="91"/>
        <v>#DIV/0!</v>
      </c>
      <c r="I236" s="459">
        <v>3865</v>
      </c>
      <c r="J236" s="494">
        <f t="shared" si="92"/>
        <v>2751</v>
      </c>
      <c r="K236" s="424">
        <f t="shared" si="93"/>
        <v>71.177231565329876</v>
      </c>
    </row>
    <row r="237" spans="1:11" ht="25.5">
      <c r="A237" s="408" t="s">
        <v>1888</v>
      </c>
      <c r="B237" s="426" t="s">
        <v>1889</v>
      </c>
      <c r="C237" s="459"/>
      <c r="D237" s="505"/>
      <c r="E237" s="424" t="e">
        <f t="shared" si="94"/>
        <v>#DIV/0!</v>
      </c>
      <c r="F237" s="445"/>
      <c r="G237" s="505"/>
      <c r="H237" s="498" t="e">
        <f t="shared" si="91"/>
        <v>#DIV/0!</v>
      </c>
      <c r="I237" s="459">
        <v>0</v>
      </c>
      <c r="J237" s="494">
        <f t="shared" si="92"/>
        <v>0</v>
      </c>
      <c r="K237" s="424" t="e">
        <f t="shared" si="93"/>
        <v>#DIV/0!</v>
      </c>
    </row>
    <row r="238" spans="1:11" ht="38.25">
      <c r="A238" s="504" t="s">
        <v>1933</v>
      </c>
      <c r="B238" s="437" t="s">
        <v>1891</v>
      </c>
      <c r="C238" s="503">
        <v>398</v>
      </c>
      <c r="D238" s="506"/>
      <c r="E238" s="424">
        <f t="shared" si="94"/>
        <v>0</v>
      </c>
      <c r="F238" s="453">
        <v>2460</v>
      </c>
      <c r="G238" s="506"/>
      <c r="H238" s="506"/>
      <c r="I238" s="459">
        <v>2860</v>
      </c>
      <c r="J238" s="506"/>
      <c r="K238" s="424">
        <f t="shared" si="93"/>
        <v>0</v>
      </c>
    </row>
    <row r="239" spans="1:11">
      <c r="A239" s="504"/>
      <c r="B239" s="436" t="s">
        <v>1938</v>
      </c>
      <c r="C239" s="497">
        <v>5877</v>
      </c>
      <c r="D239" s="498">
        <f>D240+D241+D242+D243+D246</f>
        <v>2574</v>
      </c>
      <c r="E239" s="498">
        <f t="shared" ref="E239:J239" si="95">E240+E241+E242+E243+E246</f>
        <v>202.74687543837851</v>
      </c>
      <c r="F239" s="497">
        <v>461</v>
      </c>
      <c r="G239" s="498">
        <f t="shared" si="95"/>
        <v>70</v>
      </c>
      <c r="H239" s="498" t="e">
        <f t="shared" si="95"/>
        <v>#DIV/0!</v>
      </c>
      <c r="I239" s="497">
        <v>6356</v>
      </c>
      <c r="J239" s="498">
        <f t="shared" si="95"/>
        <v>2644</v>
      </c>
      <c r="K239" s="507">
        <f t="shared" si="93"/>
        <v>41.598489616110761</v>
      </c>
    </row>
    <row r="240" spans="1:11" ht="26.25">
      <c r="A240" s="501" t="s">
        <v>171</v>
      </c>
      <c r="B240" s="502" t="s">
        <v>174</v>
      </c>
      <c r="C240" s="503">
        <v>1573</v>
      </c>
      <c r="D240" s="411">
        <f>116+101+169+139+184+179</f>
        <v>888</v>
      </c>
      <c r="E240" s="508">
        <f t="shared" ref="E240:E246" si="96">D240/C240*100</f>
        <v>56.452638270820088</v>
      </c>
      <c r="F240" s="445">
        <v>20</v>
      </c>
      <c r="G240" s="411">
        <v>56</v>
      </c>
      <c r="H240" s="508">
        <f t="shared" ref="H240:H246" si="97">G240/F240*100</f>
        <v>280</v>
      </c>
      <c r="I240" s="503">
        <v>1600</v>
      </c>
      <c r="J240" s="509">
        <f>D240+G240</f>
        <v>944</v>
      </c>
      <c r="K240" s="424">
        <f t="shared" si="93"/>
        <v>59</v>
      </c>
    </row>
    <row r="241" spans="1:11" ht="26.25">
      <c r="A241" s="504" t="s">
        <v>172</v>
      </c>
      <c r="B241" s="502" t="s">
        <v>1883</v>
      </c>
      <c r="C241" s="503">
        <v>2053</v>
      </c>
      <c r="D241" s="411">
        <f>170+171+226+38+147+164</f>
        <v>916</v>
      </c>
      <c r="E241" s="435">
        <f t="shared" si="96"/>
        <v>44.617632732586458</v>
      </c>
      <c r="F241" s="445"/>
      <c r="G241" s="411">
        <v>3</v>
      </c>
      <c r="H241" s="435" t="e">
        <f t="shared" si="97"/>
        <v>#DIV/0!</v>
      </c>
      <c r="I241" s="503">
        <v>2055</v>
      </c>
      <c r="J241" s="510">
        <f t="shared" ref="J241:J246" si="98">D241+G241</f>
        <v>919</v>
      </c>
      <c r="K241" s="412">
        <f t="shared" si="93"/>
        <v>44.720194647201943</v>
      </c>
    </row>
    <row r="242" spans="1:11" ht="39">
      <c r="A242" s="504" t="s">
        <v>1884</v>
      </c>
      <c r="B242" s="502" t="s">
        <v>1911</v>
      </c>
      <c r="C242" s="455">
        <v>489</v>
      </c>
      <c r="D242" s="506">
        <v>169</v>
      </c>
      <c r="E242" s="435">
        <f t="shared" si="96"/>
        <v>34.560327198364007</v>
      </c>
      <c r="F242" s="445">
        <v>10</v>
      </c>
      <c r="G242" s="411">
        <v>11</v>
      </c>
      <c r="H242" s="435">
        <f t="shared" si="97"/>
        <v>110.00000000000001</v>
      </c>
      <c r="I242" s="503">
        <v>500</v>
      </c>
      <c r="J242" s="510">
        <f t="shared" si="98"/>
        <v>180</v>
      </c>
      <c r="K242" s="412">
        <f t="shared" si="93"/>
        <v>36</v>
      </c>
    </row>
    <row r="243" spans="1:11" ht="39">
      <c r="A243" s="504" t="s">
        <v>1886</v>
      </c>
      <c r="B243" s="502" t="s">
        <v>1912</v>
      </c>
      <c r="C243" s="503">
        <v>547</v>
      </c>
      <c r="D243" s="506">
        <f>25+44+31+30+18+25</f>
        <v>173</v>
      </c>
      <c r="E243" s="435">
        <f t="shared" si="96"/>
        <v>31.62705667276051</v>
      </c>
      <c r="F243" s="445">
        <v>1</v>
      </c>
      <c r="G243" s="505"/>
      <c r="H243" s="435">
        <f t="shared" si="97"/>
        <v>0</v>
      </c>
      <c r="I243" s="503">
        <v>551</v>
      </c>
      <c r="J243" s="510">
        <f t="shared" si="98"/>
        <v>173</v>
      </c>
      <c r="K243" s="412">
        <f t="shared" si="93"/>
        <v>31.397459165154263</v>
      </c>
    </row>
    <row r="244" spans="1:11" ht="25.5">
      <c r="A244" s="408" t="s">
        <v>1888</v>
      </c>
      <c r="B244" s="426" t="s">
        <v>1889</v>
      </c>
      <c r="C244" s="459"/>
      <c r="D244" s="506"/>
      <c r="E244" s="435" t="e">
        <f t="shared" si="96"/>
        <v>#DIV/0!</v>
      </c>
      <c r="F244" s="445"/>
      <c r="G244" s="506">
        <v>2</v>
      </c>
      <c r="H244" s="435" t="e">
        <f t="shared" si="97"/>
        <v>#DIV/0!</v>
      </c>
      <c r="I244" s="503">
        <v>0</v>
      </c>
      <c r="J244" s="510">
        <f t="shared" si="98"/>
        <v>2</v>
      </c>
      <c r="K244" s="412" t="e">
        <f t="shared" si="93"/>
        <v>#DIV/0!</v>
      </c>
    </row>
    <row r="245" spans="1:11" ht="38.25">
      <c r="A245" s="504" t="s">
        <v>1933</v>
      </c>
      <c r="B245" s="437" t="s">
        <v>1891</v>
      </c>
      <c r="C245" s="503">
        <v>9</v>
      </c>
      <c r="D245" s="506">
        <v>6</v>
      </c>
      <c r="E245" s="435">
        <f t="shared" si="96"/>
        <v>66.666666666666657</v>
      </c>
      <c r="F245" s="453">
        <v>430</v>
      </c>
      <c r="G245" s="506">
        <v>199</v>
      </c>
      <c r="H245" s="435">
        <f t="shared" si="97"/>
        <v>46.279069767441861</v>
      </c>
      <c r="I245" s="503">
        <v>440</v>
      </c>
      <c r="J245" s="510">
        <f t="shared" si="98"/>
        <v>205</v>
      </c>
      <c r="K245" s="412">
        <f t="shared" si="93"/>
        <v>46.590909090909086</v>
      </c>
    </row>
    <row r="246" spans="1:11" ht="26.25">
      <c r="A246" s="504" t="s">
        <v>1939</v>
      </c>
      <c r="B246" s="502" t="s">
        <v>1940</v>
      </c>
      <c r="C246" s="503">
        <v>1206</v>
      </c>
      <c r="D246" s="511">
        <v>428</v>
      </c>
      <c r="E246" s="435">
        <f t="shared" si="96"/>
        <v>35.489220563847432</v>
      </c>
      <c r="F246" s="445"/>
      <c r="G246" s="511"/>
      <c r="H246" s="435" t="e">
        <f t="shared" si="97"/>
        <v>#DIV/0!</v>
      </c>
      <c r="I246" s="503">
        <v>1210</v>
      </c>
      <c r="J246" s="510">
        <f t="shared" si="98"/>
        <v>428</v>
      </c>
      <c r="K246" s="412">
        <f t="shared" si="93"/>
        <v>35.371900826446279</v>
      </c>
    </row>
    <row r="247" spans="1:11">
      <c r="A247" s="421"/>
      <c r="B247" s="434" t="s">
        <v>2</v>
      </c>
      <c r="C247" s="497">
        <v>38251</v>
      </c>
      <c r="D247" s="498">
        <f>D239+D232</f>
        <v>17728</v>
      </c>
      <c r="E247" s="499">
        <f>D247/C247*100</f>
        <v>46.346500745078565</v>
      </c>
      <c r="F247" s="497">
        <v>2921</v>
      </c>
      <c r="G247" s="498">
        <f t="shared" ref="G247:J247" si="99">G239+G232</f>
        <v>70</v>
      </c>
      <c r="H247" s="499">
        <f>G247/F247*100</f>
        <v>2.3964395754878467</v>
      </c>
      <c r="I247" s="497">
        <v>41196</v>
      </c>
      <c r="J247" s="498">
        <f t="shared" si="99"/>
        <v>17798</v>
      </c>
      <c r="K247" s="507">
        <f t="shared" si="93"/>
        <v>43.203223613943102</v>
      </c>
    </row>
    <row r="248" spans="1:11">
      <c r="A248" s="110"/>
      <c r="B248" s="111" t="s">
        <v>208</v>
      </c>
      <c r="C248" s="1839" t="s">
        <v>1852</v>
      </c>
      <c r="D248" s="1840"/>
      <c r="E248" s="1840"/>
      <c r="F248" s="1840"/>
      <c r="G248" s="1840"/>
      <c r="H248" s="1840"/>
      <c r="I248" s="1840"/>
      <c r="J248" s="1840"/>
      <c r="K248" s="1840"/>
    </row>
    <row r="249" spans="1:11">
      <c r="A249" s="110"/>
      <c r="B249" s="111" t="s">
        <v>209</v>
      </c>
      <c r="C249" s="1839">
        <v>17878735</v>
      </c>
      <c r="D249" s="1840"/>
      <c r="E249" s="1840"/>
      <c r="F249" s="1840"/>
      <c r="G249" s="1840"/>
      <c r="H249" s="1840"/>
      <c r="I249" s="1840"/>
      <c r="J249" s="1840"/>
      <c r="K249" s="1840"/>
    </row>
    <row r="250" spans="1:11">
      <c r="A250" s="110"/>
      <c r="B250" s="111" t="s">
        <v>211</v>
      </c>
      <c r="C250" s="1839">
        <v>2018</v>
      </c>
      <c r="D250" s="1840"/>
      <c r="E250" s="1840"/>
      <c r="F250" s="1840"/>
      <c r="G250" s="1840"/>
      <c r="H250" s="1840"/>
      <c r="I250" s="1840"/>
      <c r="J250" s="1840"/>
      <c r="K250" s="1840"/>
    </row>
    <row r="251" spans="1:11" ht="14.25">
      <c r="A251" s="110"/>
      <c r="B251" s="111" t="s">
        <v>210</v>
      </c>
      <c r="C251" s="1830" t="s">
        <v>254</v>
      </c>
      <c r="D251" s="1831"/>
      <c r="E251" s="1831"/>
      <c r="F251" s="1831"/>
      <c r="G251" s="1831"/>
      <c r="H251" s="1831"/>
      <c r="I251" s="1831"/>
      <c r="J251" s="1831"/>
      <c r="K251" s="1831"/>
    </row>
    <row r="252" spans="1:11" ht="19.5">
      <c r="A252" s="110"/>
      <c r="B252" s="111" t="s">
        <v>251</v>
      </c>
      <c r="C252" s="1900" t="s">
        <v>1941</v>
      </c>
      <c r="D252" s="1901"/>
      <c r="E252" s="1901"/>
      <c r="F252" s="1901"/>
      <c r="G252" s="1901"/>
      <c r="H252" s="1901"/>
      <c r="I252" s="1901"/>
      <c r="J252" s="1901"/>
      <c r="K252" s="1901"/>
    </row>
    <row r="253" spans="1:11">
      <c r="A253" s="1884" t="s">
        <v>55</v>
      </c>
      <c r="B253" s="1896" t="s">
        <v>256</v>
      </c>
      <c r="C253" s="1897" t="s">
        <v>262</v>
      </c>
      <c r="D253" s="1898"/>
      <c r="E253" s="1899"/>
      <c r="F253" s="1897" t="s">
        <v>263</v>
      </c>
      <c r="G253" s="1898"/>
      <c r="H253" s="1899"/>
      <c r="I253" s="1897" t="s">
        <v>90</v>
      </c>
      <c r="J253" s="1898"/>
      <c r="K253" s="1899"/>
    </row>
    <row r="254" spans="1:11" ht="45">
      <c r="A254" s="1895"/>
      <c r="B254" s="1895"/>
      <c r="C254" s="403" t="s">
        <v>368</v>
      </c>
      <c r="D254" s="404" t="s">
        <v>1813</v>
      </c>
      <c r="E254" s="405" t="s">
        <v>1872</v>
      </c>
      <c r="F254" s="403" t="s">
        <v>368</v>
      </c>
      <c r="G254" s="404" t="s">
        <v>1813</v>
      </c>
      <c r="H254" s="405" t="s">
        <v>1872</v>
      </c>
      <c r="I254" s="403" t="s">
        <v>368</v>
      </c>
      <c r="J254" s="403" t="s">
        <v>1813</v>
      </c>
      <c r="K254" s="405" t="s">
        <v>1872</v>
      </c>
    </row>
    <row r="255" spans="1:11" ht="21">
      <c r="A255" s="421"/>
      <c r="B255" s="465" t="s">
        <v>1942</v>
      </c>
      <c r="C255" s="317"/>
      <c r="D255" s="506"/>
      <c r="E255" s="435"/>
      <c r="F255" s="317"/>
      <c r="G255" s="506"/>
      <c r="H255" s="435"/>
      <c r="I255" s="317"/>
      <c r="J255" s="317"/>
      <c r="K255" s="512"/>
    </row>
    <row r="256" spans="1:11" ht="25.5">
      <c r="A256" s="513" t="s">
        <v>171</v>
      </c>
      <c r="B256" s="514" t="s">
        <v>174</v>
      </c>
      <c r="C256" s="515">
        <v>800</v>
      </c>
      <c r="D256" s="506">
        <v>1452</v>
      </c>
      <c r="E256" s="435">
        <f>D256/C256*100</f>
        <v>181.5</v>
      </c>
      <c r="F256" s="445">
        <v>0</v>
      </c>
      <c r="G256" s="506"/>
      <c r="H256" s="435" t="e">
        <f>G256/F256*100</f>
        <v>#DIV/0!</v>
      </c>
      <c r="I256" s="445">
        <v>790</v>
      </c>
      <c r="J256" s="317">
        <f>D256+G256</f>
        <v>1452</v>
      </c>
      <c r="K256" s="512">
        <f>J256/I256*100</f>
        <v>183.79746835443038</v>
      </c>
    </row>
    <row r="257" spans="1:11" ht="25.5">
      <c r="A257" s="513" t="s">
        <v>172</v>
      </c>
      <c r="B257" s="514" t="s">
        <v>173</v>
      </c>
      <c r="C257" s="515">
        <v>9000</v>
      </c>
      <c r="D257" s="506">
        <f>809+516+525+463+433+455</f>
        <v>3201</v>
      </c>
      <c r="E257" s="435">
        <f t="shared" ref="E257:E260" si="100">D257/C257*100</f>
        <v>35.56666666666667</v>
      </c>
      <c r="F257" s="445">
        <v>0</v>
      </c>
      <c r="G257" s="506"/>
      <c r="H257" s="435" t="e">
        <f t="shared" ref="H257:H259" si="101">G257/F257*100</f>
        <v>#DIV/0!</v>
      </c>
      <c r="I257" s="445">
        <v>9135</v>
      </c>
      <c r="J257" s="317">
        <f t="shared" ref="J257:J260" si="102">D257+G257</f>
        <v>3201</v>
      </c>
      <c r="K257" s="512">
        <f t="shared" ref="K257:K260" si="103">J257/I257*100</f>
        <v>35.041050903119867</v>
      </c>
    </row>
    <row r="258" spans="1:11" ht="38.25">
      <c r="A258" s="513" t="s">
        <v>1888</v>
      </c>
      <c r="B258" s="514" t="s">
        <v>1889</v>
      </c>
      <c r="C258" s="515">
        <v>600</v>
      </c>
      <c r="D258" s="506">
        <f>70+55+33+16</f>
        <v>174</v>
      </c>
      <c r="E258" s="435">
        <f t="shared" si="100"/>
        <v>28.999999999999996</v>
      </c>
      <c r="F258" s="445">
        <v>10</v>
      </c>
      <c r="G258" s="506">
        <f>1+1+3</f>
        <v>5</v>
      </c>
      <c r="H258" s="435">
        <f t="shared" si="101"/>
        <v>50</v>
      </c>
      <c r="I258" s="445">
        <v>600</v>
      </c>
      <c r="J258" s="317">
        <f t="shared" si="102"/>
        <v>179</v>
      </c>
      <c r="K258" s="512">
        <f t="shared" si="103"/>
        <v>29.833333333333336</v>
      </c>
    </row>
    <row r="259" spans="1:11" ht="38.25">
      <c r="A259" s="408" t="s">
        <v>1933</v>
      </c>
      <c r="B259" s="426" t="s">
        <v>1943</v>
      </c>
      <c r="C259" s="450">
        <v>5</v>
      </c>
      <c r="D259" s="506">
        <v>1</v>
      </c>
      <c r="E259" s="435">
        <f t="shared" si="100"/>
        <v>20</v>
      </c>
      <c r="F259" s="455">
        <v>140</v>
      </c>
      <c r="G259" s="506">
        <f>9+13+11+18+23</f>
        <v>74</v>
      </c>
      <c r="H259" s="435">
        <f t="shared" si="101"/>
        <v>52.857142857142861</v>
      </c>
      <c r="I259" s="445">
        <v>142</v>
      </c>
      <c r="J259" s="317">
        <f t="shared" si="102"/>
        <v>75</v>
      </c>
      <c r="K259" s="512">
        <f t="shared" si="103"/>
        <v>52.816901408450704</v>
      </c>
    </row>
    <row r="260" spans="1:11" ht="15">
      <c r="A260" s="421"/>
      <c r="B260" s="434" t="s">
        <v>2</v>
      </c>
      <c r="C260" s="459">
        <v>10387</v>
      </c>
      <c r="D260" s="506">
        <f>SUM(D256:D259)</f>
        <v>4828</v>
      </c>
      <c r="E260" s="435">
        <f t="shared" si="100"/>
        <v>46.481178396072018</v>
      </c>
      <c r="F260" s="459">
        <v>280</v>
      </c>
      <c r="G260" s="506">
        <f>SUM(G258:G259)</f>
        <v>79</v>
      </c>
      <c r="H260" s="435">
        <f>G260/F260*100</f>
        <v>28.214285714285715</v>
      </c>
      <c r="I260" s="459">
        <v>10667</v>
      </c>
      <c r="J260" s="317">
        <f t="shared" si="102"/>
        <v>4907</v>
      </c>
      <c r="K260" s="512">
        <f t="shared" si="103"/>
        <v>46.001687447267273</v>
      </c>
    </row>
    <row r="261" spans="1:11">
      <c r="A261" s="110"/>
      <c r="B261" s="111" t="s">
        <v>208</v>
      </c>
      <c r="C261" s="1839" t="s">
        <v>1852</v>
      </c>
      <c r="D261" s="1840"/>
      <c r="E261" s="1840"/>
      <c r="F261" s="1840"/>
      <c r="G261" s="1840"/>
      <c r="H261" s="1840"/>
      <c r="I261" s="1840"/>
      <c r="J261" s="1840"/>
      <c r="K261" s="1840"/>
    </row>
    <row r="262" spans="1:11">
      <c r="A262" s="110"/>
      <c r="B262" s="111" t="s">
        <v>209</v>
      </c>
      <c r="C262" s="1839">
        <v>17878735</v>
      </c>
      <c r="D262" s="1840"/>
      <c r="E262" s="1840"/>
      <c r="F262" s="1840"/>
      <c r="G262" s="1840"/>
      <c r="H262" s="1840"/>
      <c r="I262" s="1840"/>
      <c r="J262" s="1840"/>
      <c r="K262" s="1840"/>
    </row>
    <row r="263" spans="1:11">
      <c r="A263" s="110"/>
      <c r="B263" s="111" t="s">
        <v>211</v>
      </c>
      <c r="C263" s="1839">
        <v>2018</v>
      </c>
      <c r="D263" s="1840"/>
      <c r="E263" s="1840"/>
      <c r="F263" s="1840"/>
      <c r="G263" s="1840"/>
      <c r="H263" s="1840"/>
      <c r="I263" s="1840"/>
      <c r="J263" s="1840"/>
      <c r="K263" s="1840"/>
    </row>
    <row r="264" spans="1:11" ht="14.25">
      <c r="A264" s="110"/>
      <c r="B264" s="111" t="s">
        <v>210</v>
      </c>
      <c r="C264" s="1830" t="s">
        <v>254</v>
      </c>
      <c r="D264" s="1831"/>
      <c r="E264" s="1831"/>
      <c r="F264" s="1831"/>
      <c r="G264" s="1831"/>
      <c r="H264" s="1831"/>
      <c r="I264" s="1831"/>
      <c r="J264" s="1831"/>
      <c r="K264" s="1831"/>
    </row>
    <row r="265" spans="1:11" ht="19.5">
      <c r="A265" s="110"/>
      <c r="B265" s="111" t="s">
        <v>251</v>
      </c>
      <c r="C265" s="1900" t="s">
        <v>1944</v>
      </c>
      <c r="D265" s="1901"/>
      <c r="E265" s="1901"/>
      <c r="F265" s="1901"/>
      <c r="G265" s="1901"/>
      <c r="H265" s="1901"/>
      <c r="I265" s="1901"/>
      <c r="J265" s="1901"/>
      <c r="K265" s="1901"/>
    </row>
    <row r="266" spans="1:11">
      <c r="A266" s="1884" t="s">
        <v>55</v>
      </c>
      <c r="B266" s="1896" t="s">
        <v>256</v>
      </c>
      <c r="C266" s="1897" t="s">
        <v>262</v>
      </c>
      <c r="D266" s="1898"/>
      <c r="E266" s="1899"/>
      <c r="F266" s="1897" t="s">
        <v>263</v>
      </c>
      <c r="G266" s="1898"/>
      <c r="H266" s="1899"/>
      <c r="I266" s="1897" t="s">
        <v>90</v>
      </c>
      <c r="J266" s="1898"/>
      <c r="K266" s="1899"/>
    </row>
    <row r="267" spans="1:11" ht="45">
      <c r="A267" s="1895"/>
      <c r="B267" s="1895"/>
      <c r="C267" s="403" t="s">
        <v>368</v>
      </c>
      <c r="D267" s="404" t="s">
        <v>1813</v>
      </c>
      <c r="E267" s="405" t="s">
        <v>1872</v>
      </c>
      <c r="F267" s="403" t="s">
        <v>368</v>
      </c>
      <c r="G267" s="404" t="s">
        <v>1813</v>
      </c>
      <c r="H267" s="405" t="s">
        <v>1872</v>
      </c>
      <c r="I267" s="403" t="s">
        <v>368</v>
      </c>
      <c r="J267" s="403" t="s">
        <v>1813</v>
      </c>
      <c r="K267" s="405" t="s">
        <v>1872</v>
      </c>
    </row>
    <row r="268" spans="1:11" ht="63">
      <c r="A268" s="421"/>
      <c r="B268" s="465" t="s">
        <v>1945</v>
      </c>
      <c r="C268" s="317"/>
      <c r="D268" s="506"/>
      <c r="E268" s="435"/>
      <c r="F268" s="317"/>
      <c r="G268" s="506"/>
      <c r="H268" s="435"/>
      <c r="I268" s="317"/>
      <c r="J268" s="317"/>
      <c r="K268" s="512"/>
    </row>
    <row r="269" spans="1:11" ht="25.5">
      <c r="A269" s="516" t="s">
        <v>171</v>
      </c>
      <c r="B269" s="517" t="s">
        <v>174</v>
      </c>
      <c r="C269" s="518"/>
      <c r="D269" s="518"/>
      <c r="E269" s="519"/>
      <c r="F269" s="519">
        <v>15</v>
      </c>
      <c r="G269" s="519"/>
      <c r="H269" s="520">
        <f>G269/F269*100</f>
        <v>0</v>
      </c>
      <c r="I269" s="519">
        <v>15</v>
      </c>
      <c r="J269" s="517"/>
      <c r="K269" s="518"/>
    </row>
    <row r="270" spans="1:11" ht="25.5">
      <c r="A270" s="516" t="s">
        <v>172</v>
      </c>
      <c r="B270" s="517" t="s">
        <v>173</v>
      </c>
      <c r="C270" s="518"/>
      <c r="D270" s="518"/>
      <c r="E270" s="519"/>
      <c r="F270" s="519">
        <v>85</v>
      </c>
      <c r="G270" s="519"/>
      <c r="H270" s="520">
        <f t="shared" ref="H270:H274" si="104">G270/F270*100</f>
        <v>0</v>
      </c>
      <c r="I270" s="519">
        <v>85</v>
      </c>
      <c r="J270" s="517"/>
      <c r="K270" s="518"/>
    </row>
    <row r="271" spans="1:11" ht="38.25">
      <c r="A271" s="521" t="s">
        <v>1884</v>
      </c>
      <c r="B271" s="415" t="s">
        <v>1911</v>
      </c>
      <c r="C271" s="522"/>
      <c r="D271" s="522"/>
      <c r="E271" s="522"/>
      <c r="F271" s="519">
        <v>1</v>
      </c>
      <c r="G271" s="503"/>
      <c r="H271" s="520">
        <f t="shared" si="104"/>
        <v>0</v>
      </c>
      <c r="I271" s="519">
        <v>1</v>
      </c>
      <c r="J271" s="415"/>
      <c r="K271" s="522"/>
    </row>
    <row r="272" spans="1:11" ht="38.25">
      <c r="A272" s="516" t="s">
        <v>1888</v>
      </c>
      <c r="B272" s="517" t="s">
        <v>1889</v>
      </c>
      <c r="C272" s="518"/>
      <c r="D272" s="518"/>
      <c r="E272" s="519"/>
      <c r="F272" s="519">
        <v>1</v>
      </c>
      <c r="G272" s="519"/>
      <c r="H272" s="520">
        <f t="shared" si="104"/>
        <v>0</v>
      </c>
      <c r="I272" s="519">
        <v>1</v>
      </c>
      <c r="J272" s="517"/>
      <c r="K272" s="518"/>
    </row>
    <row r="273" spans="1:11" ht="38.25">
      <c r="A273" s="408" t="s">
        <v>1933</v>
      </c>
      <c r="B273" s="426" t="s">
        <v>1943</v>
      </c>
      <c r="C273" s="317"/>
      <c r="D273" s="506"/>
      <c r="E273" s="435"/>
      <c r="F273" s="317"/>
      <c r="G273" s="506">
        <f>13+9+12+5+11+11</f>
        <v>61</v>
      </c>
      <c r="H273" s="520" t="e">
        <f t="shared" si="104"/>
        <v>#DIV/0!</v>
      </c>
      <c r="I273" s="317"/>
      <c r="J273" s="317">
        <f>D273+G273</f>
        <v>61</v>
      </c>
      <c r="K273" s="512" t="e">
        <f>J273/I273*100</f>
        <v>#DIV/0!</v>
      </c>
    </row>
    <row r="274" spans="1:11" ht="15">
      <c r="A274" s="421"/>
      <c r="B274" s="434" t="s">
        <v>2</v>
      </c>
      <c r="C274" s="317"/>
      <c r="D274" s="506"/>
      <c r="E274" s="435"/>
      <c r="F274" s="510">
        <f>SUM(F269:F273)</f>
        <v>102</v>
      </c>
      <c r="G274" s="506">
        <v>61</v>
      </c>
      <c r="H274" s="520">
        <f t="shared" si="104"/>
        <v>59.803921568627452</v>
      </c>
      <c r="I274" s="510">
        <f>SUM(I269:I273)</f>
        <v>102</v>
      </c>
      <c r="J274" s="317">
        <f>SUM(J269:J273)</f>
        <v>61</v>
      </c>
      <c r="K274" s="512">
        <f>J274/I274*100</f>
        <v>59.803921568627452</v>
      </c>
    </row>
    <row r="275" spans="1:11">
      <c r="A275" s="110"/>
      <c r="B275" s="111" t="s">
        <v>208</v>
      </c>
      <c r="C275" s="1839" t="s">
        <v>1852</v>
      </c>
      <c r="D275" s="1840"/>
      <c r="E275" s="1840"/>
      <c r="F275" s="1840"/>
      <c r="G275" s="1840"/>
      <c r="H275" s="1840"/>
      <c r="I275" s="1840"/>
      <c r="J275" s="1840"/>
      <c r="K275" s="1840"/>
    </row>
    <row r="276" spans="1:11">
      <c r="A276" s="110"/>
      <c r="B276" s="111" t="s">
        <v>209</v>
      </c>
      <c r="C276" s="1839">
        <v>17878735</v>
      </c>
      <c r="D276" s="1840"/>
      <c r="E276" s="1840"/>
      <c r="F276" s="1840"/>
      <c r="G276" s="1840"/>
      <c r="H276" s="1840"/>
      <c r="I276" s="1840"/>
      <c r="J276" s="1840"/>
      <c r="K276" s="1840"/>
    </row>
    <row r="277" spans="1:11">
      <c r="A277" s="110"/>
      <c r="B277" s="111" t="s">
        <v>211</v>
      </c>
      <c r="C277" s="1839">
        <v>2018</v>
      </c>
      <c r="D277" s="1840"/>
      <c r="E277" s="1840"/>
      <c r="F277" s="1840"/>
      <c r="G277" s="1840"/>
      <c r="H277" s="1840"/>
      <c r="I277" s="1840"/>
      <c r="J277" s="1840"/>
      <c r="K277" s="1840"/>
    </row>
    <row r="278" spans="1:11" ht="14.25">
      <c r="A278" s="110"/>
      <c r="B278" s="111" t="s">
        <v>210</v>
      </c>
      <c r="C278" s="1830" t="s">
        <v>254</v>
      </c>
      <c r="D278" s="1831"/>
      <c r="E278" s="1831"/>
      <c r="F278" s="1831"/>
      <c r="G278" s="1831"/>
      <c r="H278" s="1831"/>
      <c r="I278" s="1831"/>
      <c r="J278" s="1831"/>
      <c r="K278" s="1831"/>
    </row>
    <row r="279" spans="1:11" ht="19.5">
      <c r="A279" s="110"/>
      <c r="B279" s="111" t="s">
        <v>251</v>
      </c>
      <c r="C279" s="1900" t="s">
        <v>1835</v>
      </c>
      <c r="D279" s="1901"/>
      <c r="E279" s="1901"/>
      <c r="F279" s="1901"/>
      <c r="G279" s="1901"/>
      <c r="H279" s="1901"/>
      <c r="I279" s="1901"/>
      <c r="J279" s="1901"/>
      <c r="K279" s="1901"/>
    </row>
    <row r="280" spans="1:11">
      <c r="A280" s="1884" t="s">
        <v>55</v>
      </c>
      <c r="B280" s="1896" t="s">
        <v>256</v>
      </c>
      <c r="C280" s="1897" t="s">
        <v>262</v>
      </c>
      <c r="D280" s="1898"/>
      <c r="E280" s="1899"/>
      <c r="F280" s="1897" t="s">
        <v>263</v>
      </c>
      <c r="G280" s="1898"/>
      <c r="H280" s="1899"/>
      <c r="I280" s="1897" t="s">
        <v>90</v>
      </c>
      <c r="J280" s="1898"/>
      <c r="K280" s="1899"/>
    </row>
    <row r="281" spans="1:11" ht="45">
      <c r="A281" s="1895"/>
      <c r="B281" s="1895"/>
      <c r="C281" s="403" t="s">
        <v>368</v>
      </c>
      <c r="D281" s="404" t="s">
        <v>1813</v>
      </c>
      <c r="E281" s="405" t="s">
        <v>1872</v>
      </c>
      <c r="F281" s="403" t="s">
        <v>368</v>
      </c>
      <c r="G281" s="404" t="s">
        <v>1813</v>
      </c>
      <c r="H281" s="405" t="s">
        <v>1872</v>
      </c>
      <c r="I281" s="403" t="s">
        <v>368</v>
      </c>
      <c r="J281" s="403" t="s">
        <v>1813</v>
      </c>
      <c r="K281" s="405" t="s">
        <v>1872</v>
      </c>
    </row>
    <row r="282" spans="1:11" ht="21">
      <c r="A282" s="421"/>
      <c r="B282" s="465" t="s">
        <v>1835</v>
      </c>
      <c r="C282" s="317"/>
      <c r="D282" s="506"/>
      <c r="E282" s="435"/>
      <c r="F282" s="317"/>
      <c r="G282" s="506"/>
      <c r="H282" s="435"/>
      <c r="I282" s="317"/>
      <c r="J282" s="317"/>
      <c r="K282" s="512"/>
    </row>
    <row r="283" spans="1:11" ht="25.5">
      <c r="A283" s="408" t="s">
        <v>171</v>
      </c>
      <c r="B283" s="426" t="s">
        <v>1924</v>
      </c>
      <c r="C283" s="455">
        <v>2445</v>
      </c>
      <c r="D283" s="506">
        <v>2733</v>
      </c>
      <c r="E283" s="435">
        <f>D283/C283*100</f>
        <v>111.77914110429448</v>
      </c>
      <c r="F283" s="455">
        <v>5</v>
      </c>
      <c r="G283" s="506"/>
      <c r="H283" s="435">
        <f>G283/F283*100</f>
        <v>0</v>
      </c>
      <c r="I283" s="445">
        <v>2450</v>
      </c>
      <c r="J283" s="317">
        <f>G283+D283</f>
        <v>2733</v>
      </c>
      <c r="K283" s="512">
        <f>J283/I283*100</f>
        <v>111.55102040816327</v>
      </c>
    </row>
    <row r="284" spans="1:11" ht="25.5">
      <c r="A284" s="408" t="s">
        <v>172</v>
      </c>
      <c r="B284" s="426" t="s">
        <v>173</v>
      </c>
      <c r="C284" s="455">
        <v>7820</v>
      </c>
      <c r="D284" s="506">
        <v>2630</v>
      </c>
      <c r="E284" s="435">
        <f t="shared" ref="E284:E288" si="105">D284/C284*100</f>
        <v>33.631713554987215</v>
      </c>
      <c r="F284" s="455"/>
      <c r="G284" s="506"/>
      <c r="H284" s="435" t="e">
        <f t="shared" ref="H284:H288" si="106">G284/F284*100</f>
        <v>#DIV/0!</v>
      </c>
      <c r="I284" s="445">
        <v>7820</v>
      </c>
      <c r="J284" s="317">
        <f t="shared" ref="J284:J288" si="107">G284+D284</f>
        <v>2630</v>
      </c>
      <c r="K284" s="512">
        <f t="shared" ref="K284:K288" si="108">J284/I284*100</f>
        <v>33.631713554987215</v>
      </c>
    </row>
    <row r="285" spans="1:11" ht="38.25">
      <c r="A285" s="513" t="s">
        <v>1888</v>
      </c>
      <c r="B285" s="514" t="s">
        <v>1889</v>
      </c>
      <c r="C285" s="515"/>
      <c r="D285" s="506"/>
      <c r="E285" s="435" t="e">
        <f t="shared" si="105"/>
        <v>#DIV/0!</v>
      </c>
      <c r="F285" s="445"/>
      <c r="G285" s="506"/>
      <c r="H285" s="435" t="e">
        <f t="shared" si="106"/>
        <v>#DIV/0!</v>
      </c>
      <c r="I285" s="445">
        <v>0</v>
      </c>
      <c r="J285" s="317">
        <f t="shared" si="107"/>
        <v>0</v>
      </c>
      <c r="K285" s="512" t="e">
        <f t="shared" si="108"/>
        <v>#DIV/0!</v>
      </c>
    </row>
    <row r="286" spans="1:11" ht="25.5">
      <c r="A286" s="408" t="s">
        <v>1946</v>
      </c>
      <c r="B286" s="426" t="s">
        <v>1947</v>
      </c>
      <c r="C286" s="455">
        <v>1900</v>
      </c>
      <c r="D286" s="506">
        <f>276+198+179+177+254+109</f>
        <v>1193</v>
      </c>
      <c r="E286" s="435">
        <f t="shared" si="105"/>
        <v>62.789473684210527</v>
      </c>
      <c r="F286" s="455"/>
      <c r="G286" s="506"/>
      <c r="H286" s="435" t="e">
        <f t="shared" si="106"/>
        <v>#DIV/0!</v>
      </c>
      <c r="I286" s="445">
        <v>1900</v>
      </c>
      <c r="J286" s="317">
        <f t="shared" si="107"/>
        <v>1193</v>
      </c>
      <c r="K286" s="512">
        <f t="shared" si="108"/>
        <v>62.789473684210527</v>
      </c>
    </row>
    <row r="287" spans="1:11" ht="38.25">
      <c r="A287" s="439" t="s">
        <v>1890</v>
      </c>
      <c r="B287" s="440" t="s">
        <v>1891</v>
      </c>
      <c r="C287" s="455"/>
      <c r="D287" s="506"/>
      <c r="E287" s="435" t="e">
        <f t="shared" si="105"/>
        <v>#DIV/0!</v>
      </c>
      <c r="F287" s="455">
        <v>1180</v>
      </c>
      <c r="G287" s="506">
        <v>322</v>
      </c>
      <c r="H287" s="435">
        <f t="shared" si="106"/>
        <v>27.288135593220336</v>
      </c>
      <c r="I287" s="445">
        <v>1180</v>
      </c>
      <c r="J287" s="317">
        <f t="shared" si="107"/>
        <v>322</v>
      </c>
      <c r="K287" s="512">
        <f t="shared" si="108"/>
        <v>27.288135593220336</v>
      </c>
    </row>
    <row r="288" spans="1:11" ht="15">
      <c r="A288" s="421"/>
      <c r="B288" s="434" t="s">
        <v>2</v>
      </c>
      <c r="C288" s="523">
        <v>12165</v>
      </c>
      <c r="D288" s="506">
        <f>SUM(D283:D287)</f>
        <v>6556</v>
      </c>
      <c r="E288" s="435">
        <f t="shared" si="105"/>
        <v>53.892314015618581</v>
      </c>
      <c r="F288" s="523">
        <v>1185</v>
      </c>
      <c r="G288" s="506">
        <f>SUM(G283:G287)</f>
        <v>322</v>
      </c>
      <c r="H288" s="435">
        <f t="shared" si="106"/>
        <v>27.172995780590721</v>
      </c>
      <c r="I288" s="523">
        <v>13350</v>
      </c>
      <c r="J288" s="317">
        <f t="shared" si="107"/>
        <v>6878</v>
      </c>
      <c r="K288" s="512">
        <f t="shared" si="108"/>
        <v>51.520599250936328</v>
      </c>
    </row>
    <row r="289" spans="1:11">
      <c r="A289" s="110"/>
      <c r="B289" s="111" t="s">
        <v>208</v>
      </c>
      <c r="C289" s="1839" t="s">
        <v>1852</v>
      </c>
      <c r="D289" s="1840"/>
      <c r="E289" s="1840"/>
      <c r="F289" s="1840"/>
      <c r="G289" s="1840"/>
      <c r="H289" s="1840"/>
      <c r="I289" s="1840"/>
      <c r="J289" s="1840"/>
      <c r="K289" s="1840"/>
    </row>
    <row r="290" spans="1:11">
      <c r="A290" s="110"/>
      <c r="B290" s="111" t="s">
        <v>209</v>
      </c>
      <c r="C290" s="1839">
        <v>17878735</v>
      </c>
      <c r="D290" s="1840"/>
      <c r="E290" s="1840"/>
      <c r="F290" s="1840"/>
      <c r="G290" s="1840"/>
      <c r="H290" s="1840"/>
      <c r="I290" s="1840"/>
      <c r="J290" s="1840"/>
      <c r="K290" s="1840"/>
    </row>
    <row r="291" spans="1:11">
      <c r="A291" s="110"/>
      <c r="B291" s="111" t="s">
        <v>211</v>
      </c>
      <c r="C291" s="1839">
        <v>2018</v>
      </c>
      <c r="D291" s="1840"/>
      <c r="E291" s="1840"/>
      <c r="F291" s="1840"/>
      <c r="G291" s="1840"/>
      <c r="H291" s="1840"/>
      <c r="I291" s="1840"/>
      <c r="J291" s="1840"/>
      <c r="K291" s="1840"/>
    </row>
    <row r="292" spans="1:11" ht="14.25">
      <c r="A292" s="110"/>
      <c r="B292" s="111" t="s">
        <v>210</v>
      </c>
      <c r="C292" s="1830" t="s">
        <v>254</v>
      </c>
      <c r="D292" s="1831"/>
      <c r="E292" s="1831"/>
      <c r="F292" s="1831"/>
      <c r="G292" s="1831"/>
      <c r="H292" s="1831"/>
      <c r="I292" s="1831"/>
      <c r="J292" s="1831"/>
      <c r="K292" s="1831"/>
    </row>
    <row r="293" spans="1:11" ht="19.5">
      <c r="A293" s="110"/>
      <c r="B293" s="111" t="s">
        <v>251</v>
      </c>
      <c r="C293" s="1900" t="s">
        <v>1948</v>
      </c>
      <c r="D293" s="1901"/>
      <c r="E293" s="1901"/>
      <c r="F293" s="1901"/>
      <c r="G293" s="1901"/>
      <c r="H293" s="1901"/>
      <c r="I293" s="1901"/>
      <c r="J293" s="1901"/>
      <c r="K293" s="1901"/>
    </row>
    <row r="294" spans="1:11">
      <c r="A294" s="1884" t="s">
        <v>55</v>
      </c>
      <c r="B294" s="1896" t="s">
        <v>256</v>
      </c>
      <c r="C294" s="1897" t="s">
        <v>262</v>
      </c>
      <c r="D294" s="1898"/>
      <c r="E294" s="1899"/>
      <c r="F294" s="1897" t="s">
        <v>263</v>
      </c>
      <c r="G294" s="1898"/>
      <c r="H294" s="1899"/>
      <c r="I294" s="1897" t="s">
        <v>90</v>
      </c>
      <c r="J294" s="1898"/>
      <c r="K294" s="1899"/>
    </row>
    <row r="295" spans="1:11" ht="45">
      <c r="A295" s="1895"/>
      <c r="B295" s="1895"/>
      <c r="C295" s="403" t="s">
        <v>368</v>
      </c>
      <c r="D295" s="404" t="s">
        <v>1813</v>
      </c>
      <c r="E295" s="405" t="s">
        <v>1872</v>
      </c>
      <c r="F295" s="403" t="s">
        <v>368</v>
      </c>
      <c r="G295" s="404" t="s">
        <v>1813</v>
      </c>
      <c r="H295" s="405" t="s">
        <v>1872</v>
      </c>
      <c r="I295" s="403" t="s">
        <v>368</v>
      </c>
      <c r="J295" s="403" t="s">
        <v>1813</v>
      </c>
      <c r="K295" s="405" t="s">
        <v>1872</v>
      </c>
    </row>
    <row r="296" spans="1:11" ht="21">
      <c r="A296" s="421"/>
      <c r="B296" s="465" t="s">
        <v>1948</v>
      </c>
      <c r="C296" s="317"/>
      <c r="D296" s="506"/>
      <c r="E296" s="435"/>
      <c r="F296" s="317"/>
      <c r="G296" s="506"/>
      <c r="H296" s="435"/>
      <c r="I296" s="317"/>
      <c r="J296" s="317"/>
      <c r="K296" s="512"/>
    </row>
    <row r="297" spans="1:11" ht="25.5">
      <c r="A297" s="408" t="s">
        <v>171</v>
      </c>
      <c r="B297" s="426" t="s">
        <v>174</v>
      </c>
      <c r="C297" s="455">
        <v>125</v>
      </c>
      <c r="D297" s="506">
        <f>1+1</f>
        <v>2</v>
      </c>
      <c r="E297" s="435">
        <f>D297/C297*100</f>
        <v>1.6</v>
      </c>
      <c r="F297" s="445">
        <v>2</v>
      </c>
      <c r="G297" s="506"/>
      <c r="H297" s="435">
        <f>G297/F297*100</f>
        <v>0</v>
      </c>
      <c r="I297" s="445">
        <v>127</v>
      </c>
      <c r="J297" s="317">
        <f>G297+D297</f>
        <v>2</v>
      </c>
      <c r="K297" s="512">
        <f>J297/I297*100</f>
        <v>1.5748031496062991</v>
      </c>
    </row>
    <row r="298" spans="1:11" ht="25.5">
      <c r="A298" s="408" t="s">
        <v>172</v>
      </c>
      <c r="B298" s="426" t="s">
        <v>173</v>
      </c>
      <c r="C298" s="455"/>
      <c r="D298" s="506"/>
      <c r="E298" s="435" t="e">
        <f t="shared" ref="E298:E300" si="109">D298/C298*100</f>
        <v>#DIV/0!</v>
      </c>
      <c r="F298" s="455">
        <v>2</v>
      </c>
      <c r="G298" s="506"/>
      <c r="H298" s="435">
        <f t="shared" ref="H298:H300" si="110">G298/F298*100</f>
        <v>0</v>
      </c>
      <c r="I298" s="445">
        <v>2</v>
      </c>
      <c r="J298" s="317">
        <f t="shared" ref="J298:J300" si="111">G298+D298</f>
        <v>0</v>
      </c>
      <c r="K298" s="512">
        <f t="shared" ref="K298:K300" si="112">J298/I298*100</f>
        <v>0</v>
      </c>
    </row>
    <row r="299" spans="1:11" ht="38.25">
      <c r="A299" s="439" t="s">
        <v>1890</v>
      </c>
      <c r="B299" s="440" t="s">
        <v>1891</v>
      </c>
      <c r="C299" s="455"/>
      <c r="D299" s="506"/>
      <c r="E299" s="435" t="e">
        <f t="shared" si="109"/>
        <v>#DIV/0!</v>
      </c>
      <c r="F299" s="455">
        <v>10</v>
      </c>
      <c r="G299" s="506">
        <f>1+1</f>
        <v>2</v>
      </c>
      <c r="H299" s="435">
        <f t="shared" si="110"/>
        <v>20</v>
      </c>
      <c r="I299" s="445">
        <v>10</v>
      </c>
      <c r="J299" s="317">
        <f t="shared" si="111"/>
        <v>2</v>
      </c>
      <c r="K299" s="512">
        <f t="shared" si="112"/>
        <v>20</v>
      </c>
    </row>
    <row r="300" spans="1:11" ht="15">
      <c r="A300" s="421"/>
      <c r="B300" s="434" t="s">
        <v>2</v>
      </c>
      <c r="C300" s="459">
        <v>125</v>
      </c>
      <c r="D300" s="506">
        <f>SUM(D297:D299)</f>
        <v>2</v>
      </c>
      <c r="E300" s="435">
        <f t="shared" si="109"/>
        <v>1.6</v>
      </c>
      <c r="F300" s="459">
        <v>14</v>
      </c>
      <c r="G300" s="506">
        <f>SUM(G297:G299)</f>
        <v>2</v>
      </c>
      <c r="H300" s="435">
        <f t="shared" si="110"/>
        <v>14.285714285714285</v>
      </c>
      <c r="I300" s="459">
        <v>139</v>
      </c>
      <c r="J300" s="317">
        <f t="shared" si="111"/>
        <v>4</v>
      </c>
      <c r="K300" s="512">
        <f t="shared" si="112"/>
        <v>2.877697841726619</v>
      </c>
    </row>
    <row r="301" spans="1:11">
      <c r="A301" s="110"/>
      <c r="B301" s="111" t="s">
        <v>208</v>
      </c>
      <c r="C301" s="1839" t="s">
        <v>1852</v>
      </c>
      <c r="D301" s="1840"/>
      <c r="E301" s="1840"/>
      <c r="F301" s="1840"/>
      <c r="G301" s="1840"/>
      <c r="H301" s="1840"/>
      <c r="I301" s="1840"/>
      <c r="J301" s="1840"/>
      <c r="K301" s="1840"/>
    </row>
    <row r="302" spans="1:11">
      <c r="A302" s="110"/>
      <c r="B302" s="111" t="s">
        <v>209</v>
      </c>
      <c r="C302" s="1839">
        <v>17878735</v>
      </c>
      <c r="D302" s="1840"/>
      <c r="E302" s="1840"/>
      <c r="F302" s="1840"/>
      <c r="G302" s="1840"/>
      <c r="H302" s="1840"/>
      <c r="I302" s="1840"/>
      <c r="J302" s="1840"/>
      <c r="K302" s="1840"/>
    </row>
    <row r="303" spans="1:11">
      <c r="A303" s="110"/>
      <c r="B303" s="111" t="s">
        <v>211</v>
      </c>
      <c r="C303" s="1839">
        <v>2018</v>
      </c>
      <c r="D303" s="1840"/>
      <c r="E303" s="1840"/>
      <c r="F303" s="1840"/>
      <c r="G303" s="1840"/>
      <c r="H303" s="1840"/>
      <c r="I303" s="1840"/>
      <c r="J303" s="1840"/>
      <c r="K303" s="1840"/>
    </row>
    <row r="304" spans="1:11" ht="19.5">
      <c r="A304" s="110"/>
      <c r="B304" s="111" t="s">
        <v>251</v>
      </c>
      <c r="C304" s="1900" t="s">
        <v>1949</v>
      </c>
      <c r="D304" s="1901"/>
      <c r="E304" s="1901"/>
      <c r="F304" s="1901"/>
      <c r="G304" s="1901"/>
      <c r="H304" s="1901"/>
      <c r="I304" s="1901"/>
      <c r="J304" s="1901"/>
      <c r="K304" s="1901"/>
    </row>
    <row r="305" spans="1:11">
      <c r="A305" s="1884" t="s">
        <v>55</v>
      </c>
      <c r="B305" s="1896" t="s">
        <v>256</v>
      </c>
      <c r="C305" s="1897" t="s">
        <v>262</v>
      </c>
      <c r="D305" s="1898"/>
      <c r="E305" s="1899"/>
      <c r="F305" s="1897" t="s">
        <v>263</v>
      </c>
      <c r="G305" s="1898"/>
      <c r="H305" s="1899"/>
      <c r="I305" s="1897" t="s">
        <v>90</v>
      </c>
      <c r="J305" s="1898"/>
      <c r="K305" s="1899"/>
    </row>
    <row r="306" spans="1:11" ht="45">
      <c r="A306" s="1895"/>
      <c r="B306" s="1895"/>
      <c r="C306" s="403" t="s">
        <v>368</v>
      </c>
      <c r="D306" s="404" t="s">
        <v>1813</v>
      </c>
      <c r="E306" s="405" t="s">
        <v>1872</v>
      </c>
      <c r="F306" s="403" t="s">
        <v>368</v>
      </c>
      <c r="G306" s="404" t="s">
        <v>1813</v>
      </c>
      <c r="H306" s="405" t="s">
        <v>1872</v>
      </c>
      <c r="I306" s="403" t="s">
        <v>368</v>
      </c>
      <c r="J306" s="403" t="s">
        <v>1813</v>
      </c>
      <c r="K306" s="405" t="s">
        <v>1872</v>
      </c>
    </row>
    <row r="307" spans="1:11" ht="21">
      <c r="A307" s="421"/>
      <c r="B307" s="465" t="s">
        <v>1949</v>
      </c>
      <c r="C307" s="317"/>
      <c r="D307" s="506"/>
      <c r="E307" s="435"/>
      <c r="F307" s="317"/>
      <c r="G307" s="506"/>
      <c r="H307" s="435"/>
      <c r="I307" s="317"/>
      <c r="J307" s="317"/>
      <c r="K307" s="512"/>
    </row>
    <row r="308" spans="1:11" ht="25.5">
      <c r="A308" s="408" t="s">
        <v>171</v>
      </c>
      <c r="B308" s="426" t="s">
        <v>174</v>
      </c>
      <c r="C308" s="455">
        <v>10060</v>
      </c>
      <c r="D308" s="506">
        <f>740+640+867+757+1068+792</f>
        <v>4864</v>
      </c>
      <c r="E308" s="435">
        <f>D308/C308*100</f>
        <v>48.34990059642147</v>
      </c>
      <c r="F308" s="445"/>
      <c r="G308" s="506"/>
      <c r="H308" s="435"/>
      <c r="I308" s="445">
        <v>10060</v>
      </c>
      <c r="J308" s="317">
        <f>D308+G308</f>
        <v>4864</v>
      </c>
      <c r="K308" s="512">
        <f>J308/I308*100</f>
        <v>48.34990059642147</v>
      </c>
    </row>
    <row r="309" spans="1:11" ht="25.5">
      <c r="A309" s="408" t="s">
        <v>172</v>
      </c>
      <c r="B309" s="426" t="s">
        <v>173</v>
      </c>
      <c r="C309" s="455"/>
      <c r="D309" s="506"/>
      <c r="E309" s="435" t="e">
        <f t="shared" ref="E309:E312" si="113">D309/C309*100</f>
        <v>#DIV/0!</v>
      </c>
      <c r="F309" s="455"/>
      <c r="G309" s="506"/>
      <c r="H309" s="435"/>
      <c r="I309" s="445">
        <v>0</v>
      </c>
      <c r="J309" s="317">
        <f t="shared" ref="J309:J313" si="114">D309+G309</f>
        <v>0</v>
      </c>
      <c r="K309" s="512" t="e">
        <f t="shared" ref="K309:K313" si="115">J309/I309*100</f>
        <v>#DIV/0!</v>
      </c>
    </row>
    <row r="310" spans="1:11" ht="39">
      <c r="A310" s="504" t="s">
        <v>1884</v>
      </c>
      <c r="B310" s="502" t="s">
        <v>1911</v>
      </c>
      <c r="C310" s="455">
        <v>5215</v>
      </c>
      <c r="D310" s="506">
        <f>479+531+325+522+344+538</f>
        <v>2739</v>
      </c>
      <c r="E310" s="435">
        <f t="shared" si="113"/>
        <v>52.521572387344193</v>
      </c>
      <c r="F310" s="445"/>
      <c r="G310" s="506"/>
      <c r="H310" s="435"/>
      <c r="I310" s="445">
        <v>5215</v>
      </c>
      <c r="J310" s="317">
        <f t="shared" si="114"/>
        <v>2739</v>
      </c>
      <c r="K310" s="512">
        <f t="shared" si="115"/>
        <v>52.521572387344193</v>
      </c>
    </row>
    <row r="311" spans="1:11" ht="39">
      <c r="A311" s="504" t="s">
        <v>1886</v>
      </c>
      <c r="B311" s="502" t="s">
        <v>1912</v>
      </c>
      <c r="C311" s="453"/>
      <c r="D311" s="506"/>
      <c r="E311" s="435" t="e">
        <f t="shared" si="113"/>
        <v>#DIV/0!</v>
      </c>
      <c r="F311" s="445"/>
      <c r="G311" s="506"/>
      <c r="H311" s="435"/>
      <c r="I311" s="445">
        <v>0</v>
      </c>
      <c r="J311" s="317">
        <f t="shared" si="114"/>
        <v>0</v>
      </c>
      <c r="K311" s="512" t="e">
        <f t="shared" si="115"/>
        <v>#DIV/0!</v>
      </c>
    </row>
    <row r="312" spans="1:11" ht="38.25">
      <c r="A312" s="439" t="s">
        <v>1890</v>
      </c>
      <c r="B312" s="440" t="s">
        <v>1891</v>
      </c>
      <c r="C312" s="453"/>
      <c r="D312" s="506">
        <v>148</v>
      </c>
      <c r="E312" s="435" t="e">
        <f t="shared" si="113"/>
        <v>#DIV/0!</v>
      </c>
      <c r="F312" s="445">
        <v>10</v>
      </c>
      <c r="G312" s="506"/>
      <c r="H312" s="435"/>
      <c r="I312" s="445">
        <v>10</v>
      </c>
      <c r="J312" s="317">
        <f t="shared" si="114"/>
        <v>148</v>
      </c>
      <c r="K312" s="512">
        <f t="shared" si="115"/>
        <v>1480</v>
      </c>
    </row>
    <row r="313" spans="1:11" ht="15">
      <c r="A313" s="421"/>
      <c r="B313" s="434" t="s">
        <v>2</v>
      </c>
      <c r="C313" s="523">
        <v>15275</v>
      </c>
      <c r="D313" s="506">
        <f>SUM(D308:D312)</f>
        <v>7751</v>
      </c>
      <c r="E313" s="435">
        <f>D313/C313*100</f>
        <v>50.743044189852704</v>
      </c>
      <c r="F313" s="523">
        <v>10</v>
      </c>
      <c r="G313" s="506">
        <f t="shared" ref="G313" si="116">SUM(G308:G312)</f>
        <v>0</v>
      </c>
      <c r="H313" s="317">
        <f>G313/F313*100</f>
        <v>0</v>
      </c>
      <c r="I313" s="523">
        <v>15285</v>
      </c>
      <c r="J313" s="317">
        <f t="shared" si="114"/>
        <v>7751</v>
      </c>
      <c r="K313" s="512">
        <f t="shared" si="115"/>
        <v>50.709846254497869</v>
      </c>
    </row>
    <row r="314" spans="1:11">
      <c r="A314" s="110"/>
      <c r="B314" s="111" t="s">
        <v>208</v>
      </c>
      <c r="C314" s="1839" t="s">
        <v>1852</v>
      </c>
      <c r="D314" s="1840"/>
      <c r="E314" s="1840"/>
      <c r="F314" s="1840"/>
      <c r="G314" s="1840"/>
      <c r="H314" s="1840"/>
      <c r="I314" s="1840"/>
      <c r="J314" s="1840"/>
      <c r="K314" s="1840"/>
    </row>
    <row r="315" spans="1:11">
      <c r="A315" s="110"/>
      <c r="B315" s="111" t="s">
        <v>209</v>
      </c>
      <c r="C315" s="1839">
        <v>17878735</v>
      </c>
      <c r="D315" s="1840"/>
      <c r="E315" s="1840"/>
      <c r="F315" s="1840"/>
      <c r="G315" s="1840"/>
      <c r="H315" s="1840"/>
      <c r="I315" s="1840"/>
      <c r="J315" s="1840"/>
      <c r="K315" s="1840"/>
    </row>
    <row r="316" spans="1:11">
      <c r="A316" s="110"/>
      <c r="B316" s="111" t="s">
        <v>211</v>
      </c>
      <c r="C316" s="1839">
        <v>2018</v>
      </c>
      <c r="D316" s="1840"/>
      <c r="E316" s="1840"/>
      <c r="F316" s="1840"/>
      <c r="G316" s="1840"/>
      <c r="H316" s="1840"/>
      <c r="I316" s="1840"/>
      <c r="J316" s="1840"/>
      <c r="K316" s="1840"/>
    </row>
    <row r="317" spans="1:11" ht="14.25">
      <c r="A317" s="110"/>
      <c r="B317" s="111" t="s">
        <v>210</v>
      </c>
      <c r="C317" s="1830" t="s">
        <v>254</v>
      </c>
      <c r="D317" s="1831"/>
      <c r="E317" s="1831"/>
      <c r="F317" s="1831"/>
      <c r="G317" s="1831"/>
      <c r="H317" s="1831"/>
      <c r="I317" s="1831"/>
      <c r="J317" s="1831"/>
      <c r="K317" s="1831"/>
    </row>
    <row r="318" spans="1:11" ht="19.5">
      <c r="A318" s="110"/>
      <c r="B318" s="111" t="s">
        <v>251</v>
      </c>
      <c r="C318" s="1900" t="s">
        <v>1950</v>
      </c>
      <c r="D318" s="1901"/>
      <c r="E318" s="1901"/>
      <c r="F318" s="1901"/>
      <c r="G318" s="1901"/>
      <c r="H318" s="1901"/>
      <c r="I318" s="1901"/>
      <c r="J318" s="1901"/>
      <c r="K318" s="1901"/>
    </row>
    <row r="319" spans="1:11">
      <c r="A319" s="1884" t="s">
        <v>55</v>
      </c>
      <c r="B319" s="1896" t="s">
        <v>256</v>
      </c>
      <c r="C319" s="1897" t="s">
        <v>262</v>
      </c>
      <c r="D319" s="1898"/>
      <c r="E319" s="1899"/>
      <c r="F319" s="1897" t="s">
        <v>263</v>
      </c>
      <c r="G319" s="1898"/>
      <c r="H319" s="1899"/>
      <c r="I319" s="1897" t="s">
        <v>90</v>
      </c>
      <c r="J319" s="1898"/>
      <c r="K319" s="1899"/>
    </row>
    <row r="320" spans="1:11" ht="45">
      <c r="A320" s="1895"/>
      <c r="B320" s="1895"/>
      <c r="C320" s="403" t="s">
        <v>368</v>
      </c>
      <c r="D320" s="404" t="s">
        <v>1813</v>
      </c>
      <c r="E320" s="405" t="s">
        <v>1872</v>
      </c>
      <c r="F320" s="403" t="s">
        <v>368</v>
      </c>
      <c r="G320" s="404" t="s">
        <v>1813</v>
      </c>
      <c r="H320" s="405" t="s">
        <v>1872</v>
      </c>
      <c r="I320" s="403" t="s">
        <v>368</v>
      </c>
      <c r="J320" s="403" t="s">
        <v>1813</v>
      </c>
      <c r="K320" s="405" t="s">
        <v>1872</v>
      </c>
    </row>
    <row r="321" spans="1:11" ht="31.5">
      <c r="A321" s="421"/>
      <c r="B321" s="465" t="s">
        <v>1950</v>
      </c>
      <c r="C321" s="317"/>
      <c r="D321" s="506"/>
      <c r="E321" s="435"/>
      <c r="F321" s="317"/>
      <c r="G321" s="506"/>
      <c r="H321" s="435"/>
      <c r="I321" s="317"/>
      <c r="J321" s="317"/>
      <c r="K321" s="512"/>
    </row>
    <row r="322" spans="1:11" ht="25.5">
      <c r="A322" s="408" t="s">
        <v>171</v>
      </c>
      <c r="B322" s="426" t="s">
        <v>174</v>
      </c>
      <c r="C322" s="455">
        <v>6600</v>
      </c>
      <c r="D322" s="506">
        <f>715+540+763+781+664+556</f>
        <v>4019</v>
      </c>
      <c r="E322" s="435">
        <f>D322/C322*100</f>
        <v>60.893939393939391</v>
      </c>
      <c r="F322" s="458">
        <v>600</v>
      </c>
      <c r="G322" s="506"/>
      <c r="H322" s="435">
        <f>G322/F322*100</f>
        <v>0</v>
      </c>
      <c r="I322" s="445">
        <v>6930</v>
      </c>
      <c r="J322" s="317">
        <f>G322+D322</f>
        <v>4019</v>
      </c>
      <c r="K322" s="512">
        <f>J322/I322*100</f>
        <v>57.994227994227998</v>
      </c>
    </row>
    <row r="323" spans="1:11" ht="25.5">
      <c r="A323" s="408" t="s">
        <v>172</v>
      </c>
      <c r="B323" s="426" t="s">
        <v>173</v>
      </c>
      <c r="C323" s="455">
        <v>4375</v>
      </c>
      <c r="D323" s="506">
        <f>336+298+373+484+365+268</f>
        <v>2124</v>
      </c>
      <c r="E323" s="435">
        <f t="shared" ref="E323:E325" si="117">D323/C323*100</f>
        <v>48.548571428571428</v>
      </c>
      <c r="F323" s="455">
        <v>270</v>
      </c>
      <c r="G323" s="506"/>
      <c r="H323" s="435">
        <f t="shared" ref="H323:H325" si="118">G323/F323*100</f>
        <v>0</v>
      </c>
      <c r="I323" s="445">
        <v>4645</v>
      </c>
      <c r="J323" s="317">
        <f t="shared" ref="J323:J325" si="119">G323+D323</f>
        <v>2124</v>
      </c>
      <c r="K323" s="512">
        <f t="shared" ref="K323:K325" si="120">J323/I323*100</f>
        <v>45.726587728740583</v>
      </c>
    </row>
    <row r="324" spans="1:11" ht="38.25">
      <c r="A324" s="439" t="s">
        <v>1890</v>
      </c>
      <c r="B324" s="440" t="s">
        <v>1891</v>
      </c>
      <c r="C324" s="455">
        <v>40</v>
      </c>
      <c r="D324" s="506"/>
      <c r="E324" s="435">
        <f t="shared" si="117"/>
        <v>0</v>
      </c>
      <c r="F324" s="445">
        <v>330</v>
      </c>
      <c r="G324" s="506">
        <f>35+28+35+40+24</f>
        <v>162</v>
      </c>
      <c r="H324" s="435">
        <f t="shared" si="118"/>
        <v>49.090909090909093</v>
      </c>
      <c r="I324" s="445">
        <v>370</v>
      </c>
      <c r="J324" s="317">
        <f t="shared" si="119"/>
        <v>162</v>
      </c>
      <c r="K324" s="512">
        <f t="shared" si="120"/>
        <v>43.78378378378379</v>
      </c>
    </row>
    <row r="325" spans="1:11" ht="15">
      <c r="A325" s="421"/>
      <c r="B325" s="434" t="s">
        <v>2</v>
      </c>
      <c r="C325" s="523">
        <v>11015</v>
      </c>
      <c r="D325" s="506">
        <f>SUM(D322:D324)</f>
        <v>6143</v>
      </c>
      <c r="E325" s="435">
        <f t="shared" si="117"/>
        <v>55.769405356332271</v>
      </c>
      <c r="F325" s="523">
        <v>600</v>
      </c>
      <c r="G325" s="506">
        <f>SUM(G322:G324)</f>
        <v>162</v>
      </c>
      <c r="H325" s="435">
        <f t="shared" si="118"/>
        <v>27</v>
      </c>
      <c r="I325" s="523">
        <v>11945</v>
      </c>
      <c r="J325" s="317">
        <f t="shared" si="119"/>
        <v>6305</v>
      </c>
      <c r="K325" s="512">
        <f t="shared" si="120"/>
        <v>52.78359146086229</v>
      </c>
    </row>
    <row r="326" spans="1:11" ht="28.5" customHeight="1">
      <c r="A326" s="1894" t="s">
        <v>195</v>
      </c>
      <c r="B326" s="1894"/>
      <c r="C326" s="1894"/>
      <c r="D326" s="1894"/>
      <c r="E326" s="1894"/>
      <c r="F326" s="1894"/>
      <c r="G326" s="1894"/>
      <c r="H326" s="1894"/>
      <c r="I326"/>
      <c r="J326"/>
      <c r="K326" s="524"/>
    </row>
  </sheetData>
  <mergeCells count="216">
    <mergeCell ref="I6:K6"/>
    <mergeCell ref="C8:K8"/>
    <mergeCell ref="C16:K16"/>
    <mergeCell ref="C17:K17"/>
    <mergeCell ref="C18:K18"/>
    <mergeCell ref="C1:K1"/>
    <mergeCell ref="C2:K2"/>
    <mergeCell ref="C3:K3"/>
    <mergeCell ref="C4:K4"/>
    <mergeCell ref="C5:K5"/>
    <mergeCell ref="I35:K35"/>
    <mergeCell ref="I21:K21"/>
    <mergeCell ref="C23:K23"/>
    <mergeCell ref="C30:K30"/>
    <mergeCell ref="C31:K31"/>
    <mergeCell ref="C32:K32"/>
    <mergeCell ref="B21:B22"/>
    <mergeCell ref="C21:E21"/>
    <mergeCell ref="F21:H21"/>
    <mergeCell ref="A6:A7"/>
    <mergeCell ref="B6:B7"/>
    <mergeCell ref="C6:E6"/>
    <mergeCell ref="F6:H6"/>
    <mergeCell ref="C19:K19"/>
    <mergeCell ref="C20:K20"/>
    <mergeCell ref="A21:A22"/>
    <mergeCell ref="C47:K47"/>
    <mergeCell ref="A48:A49"/>
    <mergeCell ref="B48:B49"/>
    <mergeCell ref="C48:E48"/>
    <mergeCell ref="F48:H48"/>
    <mergeCell ref="I48:K48"/>
    <mergeCell ref="C37:K37"/>
    <mergeCell ref="C43:K43"/>
    <mergeCell ref="C44:K44"/>
    <mergeCell ref="C45:K45"/>
    <mergeCell ref="C46:K46"/>
    <mergeCell ref="C33:K33"/>
    <mergeCell ref="C34:K34"/>
    <mergeCell ref="A35:A36"/>
    <mergeCell ref="B35:B36"/>
    <mergeCell ref="C35:E35"/>
    <mergeCell ref="F35:H35"/>
    <mergeCell ref="C61:K61"/>
    <mergeCell ref="A62:A63"/>
    <mergeCell ref="B62:B63"/>
    <mergeCell ref="C62:E62"/>
    <mergeCell ref="F62:H62"/>
    <mergeCell ref="I62:K62"/>
    <mergeCell ref="C50:K50"/>
    <mergeCell ref="C57:K57"/>
    <mergeCell ref="C58:K58"/>
    <mergeCell ref="C59:K59"/>
    <mergeCell ref="C60:K60"/>
    <mergeCell ref="A74:A75"/>
    <mergeCell ref="B74:B75"/>
    <mergeCell ref="C74:E74"/>
    <mergeCell ref="F74:H74"/>
    <mergeCell ref="I74:K74"/>
    <mergeCell ref="C69:K69"/>
    <mergeCell ref="C70:K70"/>
    <mergeCell ref="C71:K71"/>
    <mergeCell ref="C72:K72"/>
    <mergeCell ref="C73:K73"/>
    <mergeCell ref="A86:A87"/>
    <mergeCell ref="B86:B87"/>
    <mergeCell ref="C86:E86"/>
    <mergeCell ref="F86:H86"/>
    <mergeCell ref="I86:K86"/>
    <mergeCell ref="C81:K81"/>
    <mergeCell ref="C82:K82"/>
    <mergeCell ref="C83:K83"/>
    <mergeCell ref="C84:K84"/>
    <mergeCell ref="C85:K85"/>
    <mergeCell ref="A101:A102"/>
    <mergeCell ref="B101:B102"/>
    <mergeCell ref="C101:E101"/>
    <mergeCell ref="F101:H101"/>
    <mergeCell ref="I101:K101"/>
    <mergeCell ref="C96:K96"/>
    <mergeCell ref="C97:K97"/>
    <mergeCell ref="C98:K98"/>
    <mergeCell ref="C99:K99"/>
    <mergeCell ref="C100:K100"/>
    <mergeCell ref="A146:A147"/>
    <mergeCell ref="B146:B147"/>
    <mergeCell ref="C146:E146"/>
    <mergeCell ref="F146:H146"/>
    <mergeCell ref="I146:K146"/>
    <mergeCell ref="C141:K141"/>
    <mergeCell ref="C142:K142"/>
    <mergeCell ref="C143:K143"/>
    <mergeCell ref="C144:K144"/>
    <mergeCell ref="C145:K145"/>
    <mergeCell ref="A160:A161"/>
    <mergeCell ref="B160:B161"/>
    <mergeCell ref="C160:E160"/>
    <mergeCell ref="F160:H160"/>
    <mergeCell ref="I160:K160"/>
    <mergeCell ref="C155:K155"/>
    <mergeCell ref="C156:K156"/>
    <mergeCell ref="C157:K157"/>
    <mergeCell ref="C158:K158"/>
    <mergeCell ref="C159:K159"/>
    <mergeCell ref="A176:A177"/>
    <mergeCell ref="B176:B177"/>
    <mergeCell ref="C176:E176"/>
    <mergeCell ref="F176:H176"/>
    <mergeCell ref="I176:K176"/>
    <mergeCell ref="C171:K171"/>
    <mergeCell ref="C172:K172"/>
    <mergeCell ref="C173:K173"/>
    <mergeCell ref="C174:K174"/>
    <mergeCell ref="C175:K175"/>
    <mergeCell ref="A190:A191"/>
    <mergeCell ref="B190:B191"/>
    <mergeCell ref="C190:E190"/>
    <mergeCell ref="F190:H190"/>
    <mergeCell ref="I190:K190"/>
    <mergeCell ref="C185:K185"/>
    <mergeCell ref="C186:K186"/>
    <mergeCell ref="C187:K187"/>
    <mergeCell ref="C188:K188"/>
    <mergeCell ref="C189:K189"/>
    <mergeCell ref="C204:K204"/>
    <mergeCell ref="C205:K205"/>
    <mergeCell ref="A206:A207"/>
    <mergeCell ref="B206:B207"/>
    <mergeCell ref="C206:E206"/>
    <mergeCell ref="F206:H206"/>
    <mergeCell ref="I206:K206"/>
    <mergeCell ref="A196:K196"/>
    <mergeCell ref="A197:K197"/>
    <mergeCell ref="C201:K201"/>
    <mergeCell ref="C202:K202"/>
    <mergeCell ref="C203:K203"/>
    <mergeCell ref="A218:A219"/>
    <mergeCell ref="B218:B219"/>
    <mergeCell ref="C218:E218"/>
    <mergeCell ref="F218:H218"/>
    <mergeCell ref="I218:K218"/>
    <mergeCell ref="C213:K213"/>
    <mergeCell ref="C214:K214"/>
    <mergeCell ref="C215:K215"/>
    <mergeCell ref="C216:K216"/>
    <mergeCell ref="C217:K217"/>
    <mergeCell ref="A230:A231"/>
    <mergeCell ref="B230:B231"/>
    <mergeCell ref="C230:E230"/>
    <mergeCell ref="F230:H230"/>
    <mergeCell ref="I230:K230"/>
    <mergeCell ref="C225:K225"/>
    <mergeCell ref="C226:K226"/>
    <mergeCell ref="C227:K227"/>
    <mergeCell ref="C228:K228"/>
    <mergeCell ref="C229:K229"/>
    <mergeCell ref="A253:A254"/>
    <mergeCell ref="B253:B254"/>
    <mergeCell ref="C253:E253"/>
    <mergeCell ref="F253:H253"/>
    <mergeCell ref="I253:K253"/>
    <mergeCell ref="C248:K248"/>
    <mergeCell ref="C249:K249"/>
    <mergeCell ref="C250:K250"/>
    <mergeCell ref="C251:K251"/>
    <mergeCell ref="C252:K252"/>
    <mergeCell ref="A266:A267"/>
    <mergeCell ref="B266:B267"/>
    <mergeCell ref="C266:E266"/>
    <mergeCell ref="F266:H266"/>
    <mergeCell ref="I266:K266"/>
    <mergeCell ref="C261:K261"/>
    <mergeCell ref="C262:K262"/>
    <mergeCell ref="C263:K263"/>
    <mergeCell ref="C264:K264"/>
    <mergeCell ref="C265:K265"/>
    <mergeCell ref="A280:A281"/>
    <mergeCell ref="B280:B281"/>
    <mergeCell ref="C280:E280"/>
    <mergeCell ref="F280:H280"/>
    <mergeCell ref="I280:K280"/>
    <mergeCell ref="C275:K275"/>
    <mergeCell ref="C276:K276"/>
    <mergeCell ref="C277:K277"/>
    <mergeCell ref="C278:K278"/>
    <mergeCell ref="C279:K279"/>
    <mergeCell ref="A294:A295"/>
    <mergeCell ref="B294:B295"/>
    <mergeCell ref="C294:E294"/>
    <mergeCell ref="F294:H294"/>
    <mergeCell ref="I294:K294"/>
    <mergeCell ref="C289:K289"/>
    <mergeCell ref="C290:K290"/>
    <mergeCell ref="C291:K291"/>
    <mergeCell ref="C292:K292"/>
    <mergeCell ref="C293:K293"/>
    <mergeCell ref="C301:K301"/>
    <mergeCell ref="C302:K302"/>
    <mergeCell ref="C303:K303"/>
    <mergeCell ref="C304:K304"/>
    <mergeCell ref="A305:A306"/>
    <mergeCell ref="B305:B306"/>
    <mergeCell ref="C305:E305"/>
    <mergeCell ref="F305:H305"/>
    <mergeCell ref="I305:K305"/>
    <mergeCell ref="A326:H326"/>
    <mergeCell ref="A319:A320"/>
    <mergeCell ref="B319:B320"/>
    <mergeCell ref="C319:E319"/>
    <mergeCell ref="F319:H319"/>
    <mergeCell ref="I319:K319"/>
    <mergeCell ref="C314:K314"/>
    <mergeCell ref="C315:K315"/>
    <mergeCell ref="C316:K316"/>
    <mergeCell ref="C317:K317"/>
    <mergeCell ref="C318:K318"/>
  </mergeCells>
  <phoneticPr fontId="10" type="noConversion"/>
  <pageMargins left="0.75" right="0.75" top="1" bottom="1" header="0.5" footer="0.5"/>
  <pageSetup paperSize="9" scale="77" orientation="portrait" verticalDpi="1200" r:id="rId1"/>
  <headerFooter alignWithMargins="0"/>
  <rowBreaks count="3" manualBreakCount="3">
    <brk id="150" max="10" man="1"/>
    <brk id="184" max="16383" man="1"/>
    <brk id="2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T25"/>
  <sheetViews>
    <sheetView view="pageBreakPreview" zoomScaleSheetLayoutView="100" workbookViewId="0">
      <selection activeCell="E27" sqref="E27"/>
    </sheetView>
  </sheetViews>
  <sheetFormatPr defaultRowHeight="12.75"/>
  <cols>
    <col min="1" max="1" width="7.140625" style="1" customWidth="1"/>
    <col min="2" max="2" width="24.140625" style="1" customWidth="1"/>
    <col min="3" max="3" width="8.85546875" style="1" customWidth="1"/>
    <col min="4" max="4" width="9.7109375" style="1" customWidth="1"/>
    <col min="5" max="5" width="8.7109375" style="1" customWidth="1"/>
    <col min="6" max="6" width="8.85546875" style="1" customWidth="1"/>
    <col min="7" max="7" width="7.5703125" style="1" customWidth="1"/>
    <col min="8" max="8" width="9.42578125" style="1" customWidth="1"/>
    <col min="9" max="9" width="7.42578125" style="1" customWidth="1"/>
    <col min="10" max="10" width="8.5703125" style="198" customWidth="1"/>
    <col min="11" max="11" width="8.5703125" style="648" customWidth="1"/>
    <col min="12" max="12" width="9.28515625" style="651" customWidth="1"/>
    <col min="13" max="13" width="9.42578125" style="198" customWidth="1"/>
    <col min="14" max="14" width="9.42578125" style="648" customWidth="1"/>
    <col min="15" max="15" width="8.140625" style="198" customWidth="1"/>
    <col min="16" max="16" width="8.7109375" style="1" customWidth="1"/>
    <col min="17" max="17" width="8.7109375" style="645" customWidth="1"/>
    <col min="18" max="18" width="7" style="1" customWidth="1"/>
    <col min="19" max="19" width="9" style="1" customWidth="1"/>
    <col min="20" max="20" width="9.28515625" style="645" customWidth="1"/>
    <col min="260" max="260" width="7.140625" customWidth="1"/>
    <col min="261" max="261" width="7" customWidth="1"/>
    <col min="262" max="262" width="26.5703125" customWidth="1"/>
    <col min="263" max="263" width="9.7109375" customWidth="1"/>
    <col min="264" max="264" width="14.85546875" customWidth="1"/>
    <col min="265" max="265" width="10.7109375" customWidth="1"/>
    <col min="266" max="266" width="9.5703125" customWidth="1"/>
    <col min="267" max="267" width="10.5703125" customWidth="1"/>
    <col min="268" max="269" width="9.85546875" customWidth="1"/>
    <col min="270" max="270" width="10.140625" customWidth="1"/>
    <col min="271" max="271" width="9.42578125" customWidth="1"/>
    <col min="272" max="272" width="10.28515625" customWidth="1"/>
    <col min="273" max="275" width="9.85546875" customWidth="1"/>
    <col min="276" max="276" width="9.28515625" customWidth="1"/>
    <col min="516" max="516" width="7.140625" customWidth="1"/>
    <col min="517" max="517" width="7" customWidth="1"/>
    <col min="518" max="518" width="26.5703125" customWidth="1"/>
    <col min="519" max="519" width="9.7109375" customWidth="1"/>
    <col min="520" max="520" width="14.85546875" customWidth="1"/>
    <col min="521" max="521" width="10.7109375" customWidth="1"/>
    <col min="522" max="522" width="9.5703125" customWidth="1"/>
    <col min="523" max="523" width="10.5703125" customWidth="1"/>
    <col min="524" max="525" width="9.85546875" customWidth="1"/>
    <col min="526" max="526" width="10.140625" customWidth="1"/>
    <col min="527" max="527" width="9.42578125" customWidth="1"/>
    <col min="528" max="528" width="10.28515625" customWidth="1"/>
    <col min="529" max="531" width="9.85546875" customWidth="1"/>
    <col min="532" max="532" width="9.28515625" customWidth="1"/>
    <col min="772" max="772" width="7.140625" customWidth="1"/>
    <col min="773" max="773" width="7" customWidth="1"/>
    <col min="774" max="774" width="26.5703125" customWidth="1"/>
    <col min="775" max="775" width="9.7109375" customWidth="1"/>
    <col min="776" max="776" width="14.85546875" customWidth="1"/>
    <col min="777" max="777" width="10.7109375" customWidth="1"/>
    <col min="778" max="778" width="9.5703125" customWidth="1"/>
    <col min="779" max="779" width="10.5703125" customWidth="1"/>
    <col min="780" max="781" width="9.85546875" customWidth="1"/>
    <col min="782" max="782" width="10.140625" customWidth="1"/>
    <col min="783" max="783" width="9.42578125" customWidth="1"/>
    <col min="784" max="784" width="10.28515625" customWidth="1"/>
    <col min="785" max="787" width="9.85546875" customWidth="1"/>
    <col min="788" max="788" width="9.28515625" customWidth="1"/>
    <col min="1028" max="1028" width="7.140625" customWidth="1"/>
    <col min="1029" max="1029" width="7" customWidth="1"/>
    <col min="1030" max="1030" width="26.5703125" customWidth="1"/>
    <col min="1031" max="1031" width="9.7109375" customWidth="1"/>
    <col min="1032" max="1032" width="14.85546875" customWidth="1"/>
    <col min="1033" max="1033" width="10.7109375" customWidth="1"/>
    <col min="1034" max="1034" width="9.5703125" customWidth="1"/>
    <col min="1035" max="1035" width="10.5703125" customWidth="1"/>
    <col min="1036" max="1037" width="9.85546875" customWidth="1"/>
    <col min="1038" max="1038" width="10.140625" customWidth="1"/>
    <col min="1039" max="1039" width="9.42578125" customWidth="1"/>
    <col min="1040" max="1040" width="10.28515625" customWidth="1"/>
    <col min="1041" max="1043" width="9.85546875" customWidth="1"/>
    <col min="1044" max="1044" width="9.28515625" customWidth="1"/>
    <col min="1284" max="1284" width="7.140625" customWidth="1"/>
    <col min="1285" max="1285" width="7" customWidth="1"/>
    <col min="1286" max="1286" width="26.5703125" customWidth="1"/>
    <col min="1287" max="1287" width="9.7109375" customWidth="1"/>
    <col min="1288" max="1288" width="14.85546875" customWidth="1"/>
    <col min="1289" max="1289" width="10.7109375" customWidth="1"/>
    <col min="1290" max="1290" width="9.5703125" customWidth="1"/>
    <col min="1291" max="1291" width="10.5703125" customWidth="1"/>
    <col min="1292" max="1293" width="9.85546875" customWidth="1"/>
    <col min="1294" max="1294" width="10.140625" customWidth="1"/>
    <col min="1295" max="1295" width="9.42578125" customWidth="1"/>
    <col min="1296" max="1296" width="10.28515625" customWidth="1"/>
    <col min="1297" max="1299" width="9.85546875" customWidth="1"/>
    <col min="1300" max="1300" width="9.28515625" customWidth="1"/>
    <col min="1540" max="1540" width="7.140625" customWidth="1"/>
    <col min="1541" max="1541" width="7" customWidth="1"/>
    <col min="1542" max="1542" width="26.5703125" customWidth="1"/>
    <col min="1543" max="1543" width="9.7109375" customWidth="1"/>
    <col min="1544" max="1544" width="14.85546875" customWidth="1"/>
    <col min="1545" max="1545" width="10.7109375" customWidth="1"/>
    <col min="1546" max="1546" width="9.5703125" customWidth="1"/>
    <col min="1547" max="1547" width="10.5703125" customWidth="1"/>
    <col min="1548" max="1549" width="9.85546875" customWidth="1"/>
    <col min="1550" max="1550" width="10.140625" customWidth="1"/>
    <col min="1551" max="1551" width="9.42578125" customWidth="1"/>
    <col min="1552" max="1552" width="10.28515625" customWidth="1"/>
    <col min="1553" max="1555" width="9.85546875" customWidth="1"/>
    <col min="1556" max="1556" width="9.28515625" customWidth="1"/>
    <col min="1796" max="1796" width="7.140625" customWidth="1"/>
    <col min="1797" max="1797" width="7" customWidth="1"/>
    <col min="1798" max="1798" width="26.5703125" customWidth="1"/>
    <col min="1799" max="1799" width="9.7109375" customWidth="1"/>
    <col min="1800" max="1800" width="14.85546875" customWidth="1"/>
    <col min="1801" max="1801" width="10.7109375" customWidth="1"/>
    <col min="1802" max="1802" width="9.5703125" customWidth="1"/>
    <col min="1803" max="1803" width="10.5703125" customWidth="1"/>
    <col min="1804" max="1805" width="9.85546875" customWidth="1"/>
    <col min="1806" max="1806" width="10.140625" customWidth="1"/>
    <col min="1807" max="1807" width="9.42578125" customWidth="1"/>
    <col min="1808" max="1808" width="10.28515625" customWidth="1"/>
    <col min="1809" max="1811" width="9.85546875" customWidth="1"/>
    <col min="1812" max="1812" width="9.28515625" customWidth="1"/>
    <col min="2052" max="2052" width="7.140625" customWidth="1"/>
    <col min="2053" max="2053" width="7" customWidth="1"/>
    <col min="2054" max="2054" width="26.5703125" customWidth="1"/>
    <col min="2055" max="2055" width="9.7109375" customWidth="1"/>
    <col min="2056" max="2056" width="14.85546875" customWidth="1"/>
    <col min="2057" max="2057" width="10.7109375" customWidth="1"/>
    <col min="2058" max="2058" width="9.5703125" customWidth="1"/>
    <col min="2059" max="2059" width="10.5703125" customWidth="1"/>
    <col min="2060" max="2061" width="9.85546875" customWidth="1"/>
    <col min="2062" max="2062" width="10.140625" customWidth="1"/>
    <col min="2063" max="2063" width="9.42578125" customWidth="1"/>
    <col min="2064" max="2064" width="10.28515625" customWidth="1"/>
    <col min="2065" max="2067" width="9.85546875" customWidth="1"/>
    <col min="2068" max="2068" width="9.28515625" customWidth="1"/>
    <col min="2308" max="2308" width="7.140625" customWidth="1"/>
    <col min="2309" max="2309" width="7" customWidth="1"/>
    <col min="2310" max="2310" width="26.5703125" customWidth="1"/>
    <col min="2311" max="2311" width="9.7109375" customWidth="1"/>
    <col min="2312" max="2312" width="14.85546875" customWidth="1"/>
    <col min="2313" max="2313" width="10.7109375" customWidth="1"/>
    <col min="2314" max="2314" width="9.5703125" customWidth="1"/>
    <col min="2315" max="2315" width="10.5703125" customWidth="1"/>
    <col min="2316" max="2317" width="9.85546875" customWidth="1"/>
    <col min="2318" max="2318" width="10.140625" customWidth="1"/>
    <col min="2319" max="2319" width="9.42578125" customWidth="1"/>
    <col min="2320" max="2320" width="10.28515625" customWidth="1"/>
    <col min="2321" max="2323" width="9.85546875" customWidth="1"/>
    <col min="2324" max="2324" width="9.28515625" customWidth="1"/>
    <col min="2564" max="2564" width="7.140625" customWidth="1"/>
    <col min="2565" max="2565" width="7" customWidth="1"/>
    <col min="2566" max="2566" width="26.5703125" customWidth="1"/>
    <col min="2567" max="2567" width="9.7109375" customWidth="1"/>
    <col min="2568" max="2568" width="14.85546875" customWidth="1"/>
    <col min="2569" max="2569" width="10.7109375" customWidth="1"/>
    <col min="2570" max="2570" width="9.5703125" customWidth="1"/>
    <col min="2571" max="2571" width="10.5703125" customWidth="1"/>
    <col min="2572" max="2573" width="9.85546875" customWidth="1"/>
    <col min="2574" max="2574" width="10.140625" customWidth="1"/>
    <col min="2575" max="2575" width="9.42578125" customWidth="1"/>
    <col min="2576" max="2576" width="10.28515625" customWidth="1"/>
    <col min="2577" max="2579" width="9.85546875" customWidth="1"/>
    <col min="2580" max="2580" width="9.28515625" customWidth="1"/>
    <col min="2820" max="2820" width="7.140625" customWidth="1"/>
    <col min="2821" max="2821" width="7" customWidth="1"/>
    <col min="2822" max="2822" width="26.5703125" customWidth="1"/>
    <col min="2823" max="2823" width="9.7109375" customWidth="1"/>
    <col min="2824" max="2824" width="14.85546875" customWidth="1"/>
    <col min="2825" max="2825" width="10.7109375" customWidth="1"/>
    <col min="2826" max="2826" width="9.5703125" customWidth="1"/>
    <col min="2827" max="2827" width="10.5703125" customWidth="1"/>
    <col min="2828" max="2829" width="9.85546875" customWidth="1"/>
    <col min="2830" max="2830" width="10.140625" customWidth="1"/>
    <col min="2831" max="2831" width="9.42578125" customWidth="1"/>
    <col min="2832" max="2832" width="10.28515625" customWidth="1"/>
    <col min="2833" max="2835" width="9.85546875" customWidth="1"/>
    <col min="2836" max="2836" width="9.28515625" customWidth="1"/>
    <col min="3076" max="3076" width="7.140625" customWidth="1"/>
    <col min="3077" max="3077" width="7" customWidth="1"/>
    <col min="3078" max="3078" width="26.5703125" customWidth="1"/>
    <col min="3079" max="3079" width="9.7109375" customWidth="1"/>
    <col min="3080" max="3080" width="14.85546875" customWidth="1"/>
    <col min="3081" max="3081" width="10.7109375" customWidth="1"/>
    <col min="3082" max="3082" width="9.5703125" customWidth="1"/>
    <col min="3083" max="3083" width="10.5703125" customWidth="1"/>
    <col min="3084" max="3085" width="9.85546875" customWidth="1"/>
    <col min="3086" max="3086" width="10.140625" customWidth="1"/>
    <col min="3087" max="3087" width="9.42578125" customWidth="1"/>
    <col min="3088" max="3088" width="10.28515625" customWidth="1"/>
    <col min="3089" max="3091" width="9.85546875" customWidth="1"/>
    <col min="3092" max="3092" width="9.28515625" customWidth="1"/>
    <col min="3332" max="3332" width="7.140625" customWidth="1"/>
    <col min="3333" max="3333" width="7" customWidth="1"/>
    <col min="3334" max="3334" width="26.5703125" customWidth="1"/>
    <col min="3335" max="3335" width="9.7109375" customWidth="1"/>
    <col min="3336" max="3336" width="14.85546875" customWidth="1"/>
    <col min="3337" max="3337" width="10.7109375" customWidth="1"/>
    <col min="3338" max="3338" width="9.5703125" customWidth="1"/>
    <col min="3339" max="3339" width="10.5703125" customWidth="1"/>
    <col min="3340" max="3341" width="9.85546875" customWidth="1"/>
    <col min="3342" max="3342" width="10.140625" customWidth="1"/>
    <col min="3343" max="3343" width="9.42578125" customWidth="1"/>
    <col min="3344" max="3344" width="10.28515625" customWidth="1"/>
    <col min="3345" max="3347" width="9.85546875" customWidth="1"/>
    <col min="3348" max="3348" width="9.28515625" customWidth="1"/>
    <col min="3588" max="3588" width="7.140625" customWidth="1"/>
    <col min="3589" max="3589" width="7" customWidth="1"/>
    <col min="3590" max="3590" width="26.5703125" customWidth="1"/>
    <col min="3591" max="3591" width="9.7109375" customWidth="1"/>
    <col min="3592" max="3592" width="14.85546875" customWidth="1"/>
    <col min="3593" max="3593" width="10.7109375" customWidth="1"/>
    <col min="3594" max="3594" width="9.5703125" customWidth="1"/>
    <col min="3595" max="3595" width="10.5703125" customWidth="1"/>
    <col min="3596" max="3597" width="9.85546875" customWidth="1"/>
    <col min="3598" max="3598" width="10.140625" customWidth="1"/>
    <col min="3599" max="3599" width="9.42578125" customWidth="1"/>
    <col min="3600" max="3600" width="10.28515625" customWidth="1"/>
    <col min="3601" max="3603" width="9.85546875" customWidth="1"/>
    <col min="3604" max="3604" width="9.28515625" customWidth="1"/>
    <col min="3844" max="3844" width="7.140625" customWidth="1"/>
    <col min="3845" max="3845" width="7" customWidth="1"/>
    <col min="3846" max="3846" width="26.5703125" customWidth="1"/>
    <col min="3847" max="3847" width="9.7109375" customWidth="1"/>
    <col min="3848" max="3848" width="14.85546875" customWidth="1"/>
    <col min="3849" max="3849" width="10.7109375" customWidth="1"/>
    <col min="3850" max="3850" width="9.5703125" customWidth="1"/>
    <col min="3851" max="3851" width="10.5703125" customWidth="1"/>
    <col min="3852" max="3853" width="9.85546875" customWidth="1"/>
    <col min="3854" max="3854" width="10.140625" customWidth="1"/>
    <col min="3855" max="3855" width="9.42578125" customWidth="1"/>
    <col min="3856" max="3856" width="10.28515625" customWidth="1"/>
    <col min="3857" max="3859" width="9.85546875" customWidth="1"/>
    <col min="3860" max="3860" width="9.28515625" customWidth="1"/>
    <col min="4100" max="4100" width="7.140625" customWidth="1"/>
    <col min="4101" max="4101" width="7" customWidth="1"/>
    <col min="4102" max="4102" width="26.5703125" customWidth="1"/>
    <col min="4103" max="4103" width="9.7109375" customWidth="1"/>
    <col min="4104" max="4104" width="14.85546875" customWidth="1"/>
    <col min="4105" max="4105" width="10.7109375" customWidth="1"/>
    <col min="4106" max="4106" width="9.5703125" customWidth="1"/>
    <col min="4107" max="4107" width="10.5703125" customWidth="1"/>
    <col min="4108" max="4109" width="9.85546875" customWidth="1"/>
    <col min="4110" max="4110" width="10.140625" customWidth="1"/>
    <col min="4111" max="4111" width="9.42578125" customWidth="1"/>
    <col min="4112" max="4112" width="10.28515625" customWidth="1"/>
    <col min="4113" max="4115" width="9.85546875" customWidth="1"/>
    <col min="4116" max="4116" width="9.28515625" customWidth="1"/>
    <col min="4356" max="4356" width="7.140625" customWidth="1"/>
    <col min="4357" max="4357" width="7" customWidth="1"/>
    <col min="4358" max="4358" width="26.5703125" customWidth="1"/>
    <col min="4359" max="4359" width="9.7109375" customWidth="1"/>
    <col min="4360" max="4360" width="14.85546875" customWidth="1"/>
    <col min="4361" max="4361" width="10.7109375" customWidth="1"/>
    <col min="4362" max="4362" width="9.5703125" customWidth="1"/>
    <col min="4363" max="4363" width="10.5703125" customWidth="1"/>
    <col min="4364" max="4365" width="9.85546875" customWidth="1"/>
    <col min="4366" max="4366" width="10.140625" customWidth="1"/>
    <col min="4367" max="4367" width="9.42578125" customWidth="1"/>
    <col min="4368" max="4368" width="10.28515625" customWidth="1"/>
    <col min="4369" max="4371" width="9.85546875" customWidth="1"/>
    <col min="4372" max="4372" width="9.28515625" customWidth="1"/>
    <col min="4612" max="4612" width="7.140625" customWidth="1"/>
    <col min="4613" max="4613" width="7" customWidth="1"/>
    <col min="4614" max="4614" width="26.5703125" customWidth="1"/>
    <col min="4615" max="4615" width="9.7109375" customWidth="1"/>
    <col min="4616" max="4616" width="14.85546875" customWidth="1"/>
    <col min="4617" max="4617" width="10.7109375" customWidth="1"/>
    <col min="4618" max="4618" width="9.5703125" customWidth="1"/>
    <col min="4619" max="4619" width="10.5703125" customWidth="1"/>
    <col min="4620" max="4621" width="9.85546875" customWidth="1"/>
    <col min="4622" max="4622" width="10.140625" customWidth="1"/>
    <col min="4623" max="4623" width="9.42578125" customWidth="1"/>
    <col min="4624" max="4624" width="10.28515625" customWidth="1"/>
    <col min="4625" max="4627" width="9.85546875" customWidth="1"/>
    <col min="4628" max="4628" width="9.28515625" customWidth="1"/>
    <col min="4868" max="4868" width="7.140625" customWidth="1"/>
    <col min="4869" max="4869" width="7" customWidth="1"/>
    <col min="4870" max="4870" width="26.5703125" customWidth="1"/>
    <col min="4871" max="4871" width="9.7109375" customWidth="1"/>
    <col min="4872" max="4872" width="14.85546875" customWidth="1"/>
    <col min="4873" max="4873" width="10.7109375" customWidth="1"/>
    <col min="4874" max="4874" width="9.5703125" customWidth="1"/>
    <col min="4875" max="4875" width="10.5703125" customWidth="1"/>
    <col min="4876" max="4877" width="9.85546875" customWidth="1"/>
    <col min="4878" max="4878" width="10.140625" customWidth="1"/>
    <col min="4879" max="4879" width="9.42578125" customWidth="1"/>
    <col min="4880" max="4880" width="10.28515625" customWidth="1"/>
    <col min="4881" max="4883" width="9.85546875" customWidth="1"/>
    <col min="4884" max="4884" width="9.28515625" customWidth="1"/>
    <col min="5124" max="5124" width="7.140625" customWidth="1"/>
    <col min="5125" max="5125" width="7" customWidth="1"/>
    <col min="5126" max="5126" width="26.5703125" customWidth="1"/>
    <col min="5127" max="5127" width="9.7109375" customWidth="1"/>
    <col min="5128" max="5128" width="14.85546875" customWidth="1"/>
    <col min="5129" max="5129" width="10.7109375" customWidth="1"/>
    <col min="5130" max="5130" width="9.5703125" customWidth="1"/>
    <col min="5131" max="5131" width="10.5703125" customWidth="1"/>
    <col min="5132" max="5133" width="9.85546875" customWidth="1"/>
    <col min="5134" max="5134" width="10.140625" customWidth="1"/>
    <col min="5135" max="5135" width="9.42578125" customWidth="1"/>
    <col min="5136" max="5136" width="10.28515625" customWidth="1"/>
    <col min="5137" max="5139" width="9.85546875" customWidth="1"/>
    <col min="5140" max="5140" width="9.28515625" customWidth="1"/>
    <col min="5380" max="5380" width="7.140625" customWidth="1"/>
    <col min="5381" max="5381" width="7" customWidth="1"/>
    <col min="5382" max="5382" width="26.5703125" customWidth="1"/>
    <col min="5383" max="5383" width="9.7109375" customWidth="1"/>
    <col min="5384" max="5384" width="14.85546875" customWidth="1"/>
    <col min="5385" max="5385" width="10.7109375" customWidth="1"/>
    <col min="5386" max="5386" width="9.5703125" customWidth="1"/>
    <col min="5387" max="5387" width="10.5703125" customWidth="1"/>
    <col min="5388" max="5389" width="9.85546875" customWidth="1"/>
    <col min="5390" max="5390" width="10.140625" customWidth="1"/>
    <col min="5391" max="5391" width="9.42578125" customWidth="1"/>
    <col min="5392" max="5392" width="10.28515625" customWidth="1"/>
    <col min="5393" max="5395" width="9.85546875" customWidth="1"/>
    <col min="5396" max="5396" width="9.28515625" customWidth="1"/>
    <col min="5636" max="5636" width="7.140625" customWidth="1"/>
    <col min="5637" max="5637" width="7" customWidth="1"/>
    <col min="5638" max="5638" width="26.5703125" customWidth="1"/>
    <col min="5639" max="5639" width="9.7109375" customWidth="1"/>
    <col min="5640" max="5640" width="14.85546875" customWidth="1"/>
    <col min="5641" max="5641" width="10.7109375" customWidth="1"/>
    <col min="5642" max="5642" width="9.5703125" customWidth="1"/>
    <col min="5643" max="5643" width="10.5703125" customWidth="1"/>
    <col min="5644" max="5645" width="9.85546875" customWidth="1"/>
    <col min="5646" max="5646" width="10.140625" customWidth="1"/>
    <col min="5647" max="5647" width="9.42578125" customWidth="1"/>
    <col min="5648" max="5648" width="10.28515625" customWidth="1"/>
    <col min="5649" max="5651" width="9.85546875" customWidth="1"/>
    <col min="5652" max="5652" width="9.28515625" customWidth="1"/>
    <col min="5892" max="5892" width="7.140625" customWidth="1"/>
    <col min="5893" max="5893" width="7" customWidth="1"/>
    <col min="5894" max="5894" width="26.5703125" customWidth="1"/>
    <col min="5895" max="5895" width="9.7109375" customWidth="1"/>
    <col min="5896" max="5896" width="14.85546875" customWidth="1"/>
    <col min="5897" max="5897" width="10.7109375" customWidth="1"/>
    <col min="5898" max="5898" width="9.5703125" customWidth="1"/>
    <col min="5899" max="5899" width="10.5703125" customWidth="1"/>
    <col min="5900" max="5901" width="9.85546875" customWidth="1"/>
    <col min="5902" max="5902" width="10.140625" customWidth="1"/>
    <col min="5903" max="5903" width="9.42578125" customWidth="1"/>
    <col min="5904" max="5904" width="10.28515625" customWidth="1"/>
    <col min="5905" max="5907" width="9.85546875" customWidth="1"/>
    <col min="5908" max="5908" width="9.28515625" customWidth="1"/>
    <col min="6148" max="6148" width="7.140625" customWidth="1"/>
    <col min="6149" max="6149" width="7" customWidth="1"/>
    <col min="6150" max="6150" width="26.5703125" customWidth="1"/>
    <col min="6151" max="6151" width="9.7109375" customWidth="1"/>
    <col min="6152" max="6152" width="14.85546875" customWidth="1"/>
    <col min="6153" max="6153" width="10.7109375" customWidth="1"/>
    <col min="6154" max="6154" width="9.5703125" customWidth="1"/>
    <col min="6155" max="6155" width="10.5703125" customWidth="1"/>
    <col min="6156" max="6157" width="9.85546875" customWidth="1"/>
    <col min="6158" max="6158" width="10.140625" customWidth="1"/>
    <col min="6159" max="6159" width="9.42578125" customWidth="1"/>
    <col min="6160" max="6160" width="10.28515625" customWidth="1"/>
    <col min="6161" max="6163" width="9.85546875" customWidth="1"/>
    <col min="6164" max="6164" width="9.28515625" customWidth="1"/>
    <col min="6404" max="6404" width="7.140625" customWidth="1"/>
    <col min="6405" max="6405" width="7" customWidth="1"/>
    <col min="6406" max="6406" width="26.5703125" customWidth="1"/>
    <col min="6407" max="6407" width="9.7109375" customWidth="1"/>
    <col min="6408" max="6408" width="14.85546875" customWidth="1"/>
    <col min="6409" max="6409" width="10.7109375" customWidth="1"/>
    <col min="6410" max="6410" width="9.5703125" customWidth="1"/>
    <col min="6411" max="6411" width="10.5703125" customWidth="1"/>
    <col min="6412" max="6413" width="9.85546875" customWidth="1"/>
    <col min="6414" max="6414" width="10.140625" customWidth="1"/>
    <col min="6415" max="6415" width="9.42578125" customWidth="1"/>
    <col min="6416" max="6416" width="10.28515625" customWidth="1"/>
    <col min="6417" max="6419" width="9.85546875" customWidth="1"/>
    <col min="6420" max="6420" width="9.28515625" customWidth="1"/>
    <col min="6660" max="6660" width="7.140625" customWidth="1"/>
    <col min="6661" max="6661" width="7" customWidth="1"/>
    <col min="6662" max="6662" width="26.5703125" customWidth="1"/>
    <col min="6663" max="6663" width="9.7109375" customWidth="1"/>
    <col min="6664" max="6664" width="14.85546875" customWidth="1"/>
    <col min="6665" max="6665" width="10.7109375" customWidth="1"/>
    <col min="6666" max="6666" width="9.5703125" customWidth="1"/>
    <col min="6667" max="6667" width="10.5703125" customWidth="1"/>
    <col min="6668" max="6669" width="9.85546875" customWidth="1"/>
    <col min="6670" max="6670" width="10.140625" customWidth="1"/>
    <col min="6671" max="6671" width="9.42578125" customWidth="1"/>
    <col min="6672" max="6672" width="10.28515625" customWidth="1"/>
    <col min="6673" max="6675" width="9.85546875" customWidth="1"/>
    <col min="6676" max="6676" width="9.28515625" customWidth="1"/>
    <col min="6916" max="6916" width="7.140625" customWidth="1"/>
    <col min="6917" max="6917" width="7" customWidth="1"/>
    <col min="6918" max="6918" width="26.5703125" customWidth="1"/>
    <col min="6919" max="6919" width="9.7109375" customWidth="1"/>
    <col min="6920" max="6920" width="14.85546875" customWidth="1"/>
    <col min="6921" max="6921" width="10.7109375" customWidth="1"/>
    <col min="6922" max="6922" width="9.5703125" customWidth="1"/>
    <col min="6923" max="6923" width="10.5703125" customWidth="1"/>
    <col min="6924" max="6925" width="9.85546875" customWidth="1"/>
    <col min="6926" max="6926" width="10.140625" customWidth="1"/>
    <col min="6927" max="6927" width="9.42578125" customWidth="1"/>
    <col min="6928" max="6928" width="10.28515625" customWidth="1"/>
    <col min="6929" max="6931" width="9.85546875" customWidth="1"/>
    <col min="6932" max="6932" width="9.28515625" customWidth="1"/>
    <col min="7172" max="7172" width="7.140625" customWidth="1"/>
    <col min="7173" max="7173" width="7" customWidth="1"/>
    <col min="7174" max="7174" width="26.5703125" customWidth="1"/>
    <col min="7175" max="7175" width="9.7109375" customWidth="1"/>
    <col min="7176" max="7176" width="14.85546875" customWidth="1"/>
    <col min="7177" max="7177" width="10.7109375" customWidth="1"/>
    <col min="7178" max="7178" width="9.5703125" customWidth="1"/>
    <col min="7179" max="7179" width="10.5703125" customWidth="1"/>
    <col min="7180" max="7181" width="9.85546875" customWidth="1"/>
    <col min="7182" max="7182" width="10.140625" customWidth="1"/>
    <col min="7183" max="7183" width="9.42578125" customWidth="1"/>
    <col min="7184" max="7184" width="10.28515625" customWidth="1"/>
    <col min="7185" max="7187" width="9.85546875" customWidth="1"/>
    <col min="7188" max="7188" width="9.28515625" customWidth="1"/>
    <col min="7428" max="7428" width="7.140625" customWidth="1"/>
    <col min="7429" max="7429" width="7" customWidth="1"/>
    <col min="7430" max="7430" width="26.5703125" customWidth="1"/>
    <col min="7431" max="7431" width="9.7109375" customWidth="1"/>
    <col min="7432" max="7432" width="14.85546875" customWidth="1"/>
    <col min="7433" max="7433" width="10.7109375" customWidth="1"/>
    <col min="7434" max="7434" width="9.5703125" customWidth="1"/>
    <col min="7435" max="7435" width="10.5703125" customWidth="1"/>
    <col min="7436" max="7437" width="9.85546875" customWidth="1"/>
    <col min="7438" max="7438" width="10.140625" customWidth="1"/>
    <col min="7439" max="7439" width="9.42578125" customWidth="1"/>
    <col min="7440" max="7440" width="10.28515625" customWidth="1"/>
    <col min="7441" max="7443" width="9.85546875" customWidth="1"/>
    <col min="7444" max="7444" width="9.28515625" customWidth="1"/>
    <col min="7684" max="7684" width="7.140625" customWidth="1"/>
    <col min="7685" max="7685" width="7" customWidth="1"/>
    <col min="7686" max="7686" width="26.5703125" customWidth="1"/>
    <col min="7687" max="7687" width="9.7109375" customWidth="1"/>
    <col min="7688" max="7688" width="14.85546875" customWidth="1"/>
    <col min="7689" max="7689" width="10.7109375" customWidth="1"/>
    <col min="7690" max="7690" width="9.5703125" customWidth="1"/>
    <col min="7691" max="7691" width="10.5703125" customWidth="1"/>
    <col min="7692" max="7693" width="9.85546875" customWidth="1"/>
    <col min="7694" max="7694" width="10.140625" customWidth="1"/>
    <col min="7695" max="7695" width="9.42578125" customWidth="1"/>
    <col min="7696" max="7696" width="10.28515625" customWidth="1"/>
    <col min="7697" max="7699" width="9.85546875" customWidth="1"/>
    <col min="7700" max="7700" width="9.28515625" customWidth="1"/>
    <col min="7940" max="7940" width="7.140625" customWidth="1"/>
    <col min="7941" max="7941" width="7" customWidth="1"/>
    <col min="7942" max="7942" width="26.5703125" customWidth="1"/>
    <col min="7943" max="7943" width="9.7109375" customWidth="1"/>
    <col min="7944" max="7944" width="14.85546875" customWidth="1"/>
    <col min="7945" max="7945" width="10.7109375" customWidth="1"/>
    <col min="7946" max="7946" width="9.5703125" customWidth="1"/>
    <col min="7947" max="7947" width="10.5703125" customWidth="1"/>
    <col min="7948" max="7949" width="9.85546875" customWidth="1"/>
    <col min="7950" max="7950" width="10.140625" customWidth="1"/>
    <col min="7951" max="7951" width="9.42578125" customWidth="1"/>
    <col min="7952" max="7952" width="10.28515625" customWidth="1"/>
    <col min="7953" max="7955" width="9.85546875" customWidth="1"/>
    <col min="7956" max="7956" width="9.28515625" customWidth="1"/>
    <col min="8196" max="8196" width="7.140625" customWidth="1"/>
    <col min="8197" max="8197" width="7" customWidth="1"/>
    <col min="8198" max="8198" width="26.5703125" customWidth="1"/>
    <col min="8199" max="8199" width="9.7109375" customWidth="1"/>
    <col min="8200" max="8200" width="14.85546875" customWidth="1"/>
    <col min="8201" max="8201" width="10.7109375" customWidth="1"/>
    <col min="8202" max="8202" width="9.5703125" customWidth="1"/>
    <col min="8203" max="8203" width="10.5703125" customWidth="1"/>
    <col min="8204" max="8205" width="9.85546875" customWidth="1"/>
    <col min="8206" max="8206" width="10.140625" customWidth="1"/>
    <col min="8207" max="8207" width="9.42578125" customWidth="1"/>
    <col min="8208" max="8208" width="10.28515625" customWidth="1"/>
    <col min="8209" max="8211" width="9.85546875" customWidth="1"/>
    <col min="8212" max="8212" width="9.28515625" customWidth="1"/>
    <col min="8452" max="8452" width="7.140625" customWidth="1"/>
    <col min="8453" max="8453" width="7" customWidth="1"/>
    <col min="8454" max="8454" width="26.5703125" customWidth="1"/>
    <col min="8455" max="8455" width="9.7109375" customWidth="1"/>
    <col min="8456" max="8456" width="14.85546875" customWidth="1"/>
    <col min="8457" max="8457" width="10.7109375" customWidth="1"/>
    <col min="8458" max="8458" width="9.5703125" customWidth="1"/>
    <col min="8459" max="8459" width="10.5703125" customWidth="1"/>
    <col min="8460" max="8461" width="9.85546875" customWidth="1"/>
    <col min="8462" max="8462" width="10.140625" customWidth="1"/>
    <col min="8463" max="8463" width="9.42578125" customWidth="1"/>
    <col min="8464" max="8464" width="10.28515625" customWidth="1"/>
    <col min="8465" max="8467" width="9.85546875" customWidth="1"/>
    <col min="8468" max="8468" width="9.28515625" customWidth="1"/>
    <col min="8708" max="8708" width="7.140625" customWidth="1"/>
    <col min="8709" max="8709" width="7" customWidth="1"/>
    <col min="8710" max="8710" width="26.5703125" customWidth="1"/>
    <col min="8711" max="8711" width="9.7109375" customWidth="1"/>
    <col min="8712" max="8712" width="14.85546875" customWidth="1"/>
    <col min="8713" max="8713" width="10.7109375" customWidth="1"/>
    <col min="8714" max="8714" width="9.5703125" customWidth="1"/>
    <col min="8715" max="8715" width="10.5703125" customWidth="1"/>
    <col min="8716" max="8717" width="9.85546875" customWidth="1"/>
    <col min="8718" max="8718" width="10.140625" customWidth="1"/>
    <col min="8719" max="8719" width="9.42578125" customWidth="1"/>
    <col min="8720" max="8720" width="10.28515625" customWidth="1"/>
    <col min="8721" max="8723" width="9.85546875" customWidth="1"/>
    <col min="8724" max="8724" width="9.28515625" customWidth="1"/>
    <col min="8964" max="8964" width="7.140625" customWidth="1"/>
    <col min="8965" max="8965" width="7" customWidth="1"/>
    <col min="8966" max="8966" width="26.5703125" customWidth="1"/>
    <col min="8967" max="8967" width="9.7109375" customWidth="1"/>
    <col min="8968" max="8968" width="14.85546875" customWidth="1"/>
    <col min="8969" max="8969" width="10.7109375" customWidth="1"/>
    <col min="8970" max="8970" width="9.5703125" customWidth="1"/>
    <col min="8971" max="8971" width="10.5703125" customWidth="1"/>
    <col min="8972" max="8973" width="9.85546875" customWidth="1"/>
    <col min="8974" max="8974" width="10.140625" customWidth="1"/>
    <col min="8975" max="8975" width="9.42578125" customWidth="1"/>
    <col min="8976" max="8976" width="10.28515625" customWidth="1"/>
    <col min="8977" max="8979" width="9.85546875" customWidth="1"/>
    <col min="8980" max="8980" width="9.28515625" customWidth="1"/>
    <col min="9220" max="9220" width="7.140625" customWidth="1"/>
    <col min="9221" max="9221" width="7" customWidth="1"/>
    <col min="9222" max="9222" width="26.5703125" customWidth="1"/>
    <col min="9223" max="9223" width="9.7109375" customWidth="1"/>
    <col min="9224" max="9224" width="14.85546875" customWidth="1"/>
    <col min="9225" max="9225" width="10.7109375" customWidth="1"/>
    <col min="9226" max="9226" width="9.5703125" customWidth="1"/>
    <col min="9227" max="9227" width="10.5703125" customWidth="1"/>
    <col min="9228" max="9229" width="9.85546875" customWidth="1"/>
    <col min="9230" max="9230" width="10.140625" customWidth="1"/>
    <col min="9231" max="9231" width="9.42578125" customWidth="1"/>
    <col min="9232" max="9232" width="10.28515625" customWidth="1"/>
    <col min="9233" max="9235" width="9.85546875" customWidth="1"/>
    <col min="9236" max="9236" width="9.28515625" customWidth="1"/>
    <col min="9476" max="9476" width="7.140625" customWidth="1"/>
    <col min="9477" max="9477" width="7" customWidth="1"/>
    <col min="9478" max="9478" width="26.5703125" customWidth="1"/>
    <col min="9479" max="9479" width="9.7109375" customWidth="1"/>
    <col min="9480" max="9480" width="14.85546875" customWidth="1"/>
    <col min="9481" max="9481" width="10.7109375" customWidth="1"/>
    <col min="9482" max="9482" width="9.5703125" customWidth="1"/>
    <col min="9483" max="9483" width="10.5703125" customWidth="1"/>
    <col min="9484" max="9485" width="9.85546875" customWidth="1"/>
    <col min="9486" max="9486" width="10.140625" customWidth="1"/>
    <col min="9487" max="9487" width="9.42578125" customWidth="1"/>
    <col min="9488" max="9488" width="10.28515625" customWidth="1"/>
    <col min="9489" max="9491" width="9.85546875" customWidth="1"/>
    <col min="9492" max="9492" width="9.28515625" customWidth="1"/>
    <col min="9732" max="9732" width="7.140625" customWidth="1"/>
    <col min="9733" max="9733" width="7" customWidth="1"/>
    <col min="9734" max="9734" width="26.5703125" customWidth="1"/>
    <col min="9735" max="9735" width="9.7109375" customWidth="1"/>
    <col min="9736" max="9736" width="14.85546875" customWidth="1"/>
    <col min="9737" max="9737" width="10.7109375" customWidth="1"/>
    <col min="9738" max="9738" width="9.5703125" customWidth="1"/>
    <col min="9739" max="9739" width="10.5703125" customWidth="1"/>
    <col min="9740" max="9741" width="9.85546875" customWidth="1"/>
    <col min="9742" max="9742" width="10.140625" customWidth="1"/>
    <col min="9743" max="9743" width="9.42578125" customWidth="1"/>
    <col min="9744" max="9744" width="10.28515625" customWidth="1"/>
    <col min="9745" max="9747" width="9.85546875" customWidth="1"/>
    <col min="9748" max="9748" width="9.28515625" customWidth="1"/>
    <col min="9988" max="9988" width="7.140625" customWidth="1"/>
    <col min="9989" max="9989" width="7" customWidth="1"/>
    <col min="9990" max="9990" width="26.5703125" customWidth="1"/>
    <col min="9991" max="9991" width="9.7109375" customWidth="1"/>
    <col min="9992" max="9992" width="14.85546875" customWidth="1"/>
    <col min="9993" max="9993" width="10.7109375" customWidth="1"/>
    <col min="9994" max="9994" width="9.5703125" customWidth="1"/>
    <col min="9995" max="9995" width="10.5703125" customWidth="1"/>
    <col min="9996" max="9997" width="9.85546875" customWidth="1"/>
    <col min="9998" max="9998" width="10.140625" customWidth="1"/>
    <col min="9999" max="9999" width="9.42578125" customWidth="1"/>
    <col min="10000" max="10000" width="10.28515625" customWidth="1"/>
    <col min="10001" max="10003" width="9.85546875" customWidth="1"/>
    <col min="10004" max="10004" width="9.28515625" customWidth="1"/>
    <col min="10244" max="10244" width="7.140625" customWidth="1"/>
    <col min="10245" max="10245" width="7" customWidth="1"/>
    <col min="10246" max="10246" width="26.5703125" customWidth="1"/>
    <col min="10247" max="10247" width="9.7109375" customWidth="1"/>
    <col min="10248" max="10248" width="14.85546875" customWidth="1"/>
    <col min="10249" max="10249" width="10.7109375" customWidth="1"/>
    <col min="10250" max="10250" width="9.5703125" customWidth="1"/>
    <col min="10251" max="10251" width="10.5703125" customWidth="1"/>
    <col min="10252" max="10253" width="9.85546875" customWidth="1"/>
    <col min="10254" max="10254" width="10.140625" customWidth="1"/>
    <col min="10255" max="10255" width="9.42578125" customWidth="1"/>
    <col min="10256" max="10256" width="10.28515625" customWidth="1"/>
    <col min="10257" max="10259" width="9.85546875" customWidth="1"/>
    <col min="10260" max="10260" width="9.28515625" customWidth="1"/>
    <col min="10500" max="10500" width="7.140625" customWidth="1"/>
    <col min="10501" max="10501" width="7" customWidth="1"/>
    <col min="10502" max="10502" width="26.5703125" customWidth="1"/>
    <col min="10503" max="10503" width="9.7109375" customWidth="1"/>
    <col min="10504" max="10504" width="14.85546875" customWidth="1"/>
    <col min="10505" max="10505" width="10.7109375" customWidth="1"/>
    <col min="10506" max="10506" width="9.5703125" customWidth="1"/>
    <col min="10507" max="10507" width="10.5703125" customWidth="1"/>
    <col min="10508" max="10509" width="9.85546875" customWidth="1"/>
    <col min="10510" max="10510" width="10.140625" customWidth="1"/>
    <col min="10511" max="10511" width="9.42578125" customWidth="1"/>
    <col min="10512" max="10512" width="10.28515625" customWidth="1"/>
    <col min="10513" max="10515" width="9.85546875" customWidth="1"/>
    <col min="10516" max="10516" width="9.28515625" customWidth="1"/>
    <col min="10756" max="10756" width="7.140625" customWidth="1"/>
    <col min="10757" max="10757" width="7" customWidth="1"/>
    <col min="10758" max="10758" width="26.5703125" customWidth="1"/>
    <col min="10759" max="10759" width="9.7109375" customWidth="1"/>
    <col min="10760" max="10760" width="14.85546875" customWidth="1"/>
    <col min="10761" max="10761" width="10.7109375" customWidth="1"/>
    <col min="10762" max="10762" width="9.5703125" customWidth="1"/>
    <col min="10763" max="10763" width="10.5703125" customWidth="1"/>
    <col min="10764" max="10765" width="9.85546875" customWidth="1"/>
    <col min="10766" max="10766" width="10.140625" customWidth="1"/>
    <col min="10767" max="10767" width="9.42578125" customWidth="1"/>
    <col min="10768" max="10768" width="10.28515625" customWidth="1"/>
    <col min="10769" max="10771" width="9.85546875" customWidth="1"/>
    <col min="10772" max="10772" width="9.28515625" customWidth="1"/>
    <col min="11012" max="11012" width="7.140625" customWidth="1"/>
    <col min="11013" max="11013" width="7" customWidth="1"/>
    <col min="11014" max="11014" width="26.5703125" customWidth="1"/>
    <col min="11015" max="11015" width="9.7109375" customWidth="1"/>
    <col min="11016" max="11016" width="14.85546875" customWidth="1"/>
    <col min="11017" max="11017" width="10.7109375" customWidth="1"/>
    <col min="11018" max="11018" width="9.5703125" customWidth="1"/>
    <col min="11019" max="11019" width="10.5703125" customWidth="1"/>
    <col min="11020" max="11021" width="9.85546875" customWidth="1"/>
    <col min="11022" max="11022" width="10.140625" customWidth="1"/>
    <col min="11023" max="11023" width="9.42578125" customWidth="1"/>
    <col min="11024" max="11024" width="10.28515625" customWidth="1"/>
    <col min="11025" max="11027" width="9.85546875" customWidth="1"/>
    <col min="11028" max="11028" width="9.28515625" customWidth="1"/>
    <col min="11268" max="11268" width="7.140625" customWidth="1"/>
    <col min="11269" max="11269" width="7" customWidth="1"/>
    <col min="11270" max="11270" width="26.5703125" customWidth="1"/>
    <col min="11271" max="11271" width="9.7109375" customWidth="1"/>
    <col min="11272" max="11272" width="14.85546875" customWidth="1"/>
    <col min="11273" max="11273" width="10.7109375" customWidth="1"/>
    <col min="11274" max="11274" width="9.5703125" customWidth="1"/>
    <col min="11275" max="11275" width="10.5703125" customWidth="1"/>
    <col min="11276" max="11277" width="9.85546875" customWidth="1"/>
    <col min="11278" max="11278" width="10.140625" customWidth="1"/>
    <col min="11279" max="11279" width="9.42578125" customWidth="1"/>
    <col min="11280" max="11280" width="10.28515625" customWidth="1"/>
    <col min="11281" max="11283" width="9.85546875" customWidth="1"/>
    <col min="11284" max="11284" width="9.28515625" customWidth="1"/>
    <col min="11524" max="11524" width="7.140625" customWidth="1"/>
    <col min="11525" max="11525" width="7" customWidth="1"/>
    <col min="11526" max="11526" width="26.5703125" customWidth="1"/>
    <col min="11527" max="11527" width="9.7109375" customWidth="1"/>
    <col min="11528" max="11528" width="14.85546875" customWidth="1"/>
    <col min="11529" max="11529" width="10.7109375" customWidth="1"/>
    <col min="11530" max="11530" width="9.5703125" customWidth="1"/>
    <col min="11531" max="11531" width="10.5703125" customWidth="1"/>
    <col min="11532" max="11533" width="9.85546875" customWidth="1"/>
    <col min="11534" max="11534" width="10.140625" customWidth="1"/>
    <col min="11535" max="11535" width="9.42578125" customWidth="1"/>
    <col min="11536" max="11536" width="10.28515625" customWidth="1"/>
    <col min="11537" max="11539" width="9.85546875" customWidth="1"/>
    <col min="11540" max="11540" width="9.28515625" customWidth="1"/>
    <col min="11780" max="11780" width="7.140625" customWidth="1"/>
    <col min="11781" max="11781" width="7" customWidth="1"/>
    <col min="11782" max="11782" width="26.5703125" customWidth="1"/>
    <col min="11783" max="11783" width="9.7109375" customWidth="1"/>
    <col min="11784" max="11784" width="14.85546875" customWidth="1"/>
    <col min="11785" max="11785" width="10.7109375" customWidth="1"/>
    <col min="11786" max="11786" width="9.5703125" customWidth="1"/>
    <col min="11787" max="11787" width="10.5703125" customWidth="1"/>
    <col min="11788" max="11789" width="9.85546875" customWidth="1"/>
    <col min="11790" max="11790" width="10.140625" customWidth="1"/>
    <col min="11791" max="11791" width="9.42578125" customWidth="1"/>
    <col min="11792" max="11792" width="10.28515625" customWidth="1"/>
    <col min="11793" max="11795" width="9.85546875" customWidth="1"/>
    <col min="11796" max="11796" width="9.28515625" customWidth="1"/>
    <col min="12036" max="12036" width="7.140625" customWidth="1"/>
    <col min="12037" max="12037" width="7" customWidth="1"/>
    <col min="12038" max="12038" width="26.5703125" customWidth="1"/>
    <col min="12039" max="12039" width="9.7109375" customWidth="1"/>
    <col min="12040" max="12040" width="14.85546875" customWidth="1"/>
    <col min="12041" max="12041" width="10.7109375" customWidth="1"/>
    <col min="12042" max="12042" width="9.5703125" customWidth="1"/>
    <col min="12043" max="12043" width="10.5703125" customWidth="1"/>
    <col min="12044" max="12045" width="9.85546875" customWidth="1"/>
    <col min="12046" max="12046" width="10.140625" customWidth="1"/>
    <col min="12047" max="12047" width="9.42578125" customWidth="1"/>
    <col min="12048" max="12048" width="10.28515625" customWidth="1"/>
    <col min="12049" max="12051" width="9.85546875" customWidth="1"/>
    <col min="12052" max="12052" width="9.28515625" customWidth="1"/>
    <col min="12292" max="12292" width="7.140625" customWidth="1"/>
    <col min="12293" max="12293" width="7" customWidth="1"/>
    <col min="12294" max="12294" width="26.5703125" customWidth="1"/>
    <col min="12295" max="12295" width="9.7109375" customWidth="1"/>
    <col min="12296" max="12296" width="14.85546875" customWidth="1"/>
    <col min="12297" max="12297" width="10.7109375" customWidth="1"/>
    <col min="12298" max="12298" width="9.5703125" customWidth="1"/>
    <col min="12299" max="12299" width="10.5703125" customWidth="1"/>
    <col min="12300" max="12301" width="9.85546875" customWidth="1"/>
    <col min="12302" max="12302" width="10.140625" customWidth="1"/>
    <col min="12303" max="12303" width="9.42578125" customWidth="1"/>
    <col min="12304" max="12304" width="10.28515625" customWidth="1"/>
    <col min="12305" max="12307" width="9.85546875" customWidth="1"/>
    <col min="12308" max="12308" width="9.28515625" customWidth="1"/>
    <col min="12548" max="12548" width="7.140625" customWidth="1"/>
    <col min="12549" max="12549" width="7" customWidth="1"/>
    <col min="12550" max="12550" width="26.5703125" customWidth="1"/>
    <col min="12551" max="12551" width="9.7109375" customWidth="1"/>
    <col min="12552" max="12552" width="14.85546875" customWidth="1"/>
    <col min="12553" max="12553" width="10.7109375" customWidth="1"/>
    <col min="12554" max="12554" width="9.5703125" customWidth="1"/>
    <col min="12555" max="12555" width="10.5703125" customWidth="1"/>
    <col min="12556" max="12557" width="9.85546875" customWidth="1"/>
    <col min="12558" max="12558" width="10.140625" customWidth="1"/>
    <col min="12559" max="12559" width="9.42578125" customWidth="1"/>
    <col min="12560" max="12560" width="10.28515625" customWidth="1"/>
    <col min="12561" max="12563" width="9.85546875" customWidth="1"/>
    <col min="12564" max="12564" width="9.28515625" customWidth="1"/>
    <col min="12804" max="12804" width="7.140625" customWidth="1"/>
    <col min="12805" max="12805" width="7" customWidth="1"/>
    <col min="12806" max="12806" width="26.5703125" customWidth="1"/>
    <col min="12807" max="12807" width="9.7109375" customWidth="1"/>
    <col min="12808" max="12808" width="14.85546875" customWidth="1"/>
    <col min="12809" max="12809" width="10.7109375" customWidth="1"/>
    <col min="12810" max="12810" width="9.5703125" customWidth="1"/>
    <col min="12811" max="12811" width="10.5703125" customWidth="1"/>
    <col min="12812" max="12813" width="9.85546875" customWidth="1"/>
    <col min="12814" max="12814" width="10.140625" customWidth="1"/>
    <col min="12815" max="12815" width="9.42578125" customWidth="1"/>
    <col min="12816" max="12816" width="10.28515625" customWidth="1"/>
    <col min="12817" max="12819" width="9.85546875" customWidth="1"/>
    <col min="12820" max="12820" width="9.28515625" customWidth="1"/>
    <col min="13060" max="13060" width="7.140625" customWidth="1"/>
    <col min="13061" max="13061" width="7" customWidth="1"/>
    <col min="13062" max="13062" width="26.5703125" customWidth="1"/>
    <col min="13063" max="13063" width="9.7109375" customWidth="1"/>
    <col min="13064" max="13064" width="14.85546875" customWidth="1"/>
    <col min="13065" max="13065" width="10.7109375" customWidth="1"/>
    <col min="13066" max="13066" width="9.5703125" customWidth="1"/>
    <col min="13067" max="13067" width="10.5703125" customWidth="1"/>
    <col min="13068" max="13069" width="9.85546875" customWidth="1"/>
    <col min="13070" max="13070" width="10.140625" customWidth="1"/>
    <col min="13071" max="13071" width="9.42578125" customWidth="1"/>
    <col min="13072" max="13072" width="10.28515625" customWidth="1"/>
    <col min="13073" max="13075" width="9.85546875" customWidth="1"/>
    <col min="13076" max="13076" width="9.28515625" customWidth="1"/>
    <col min="13316" max="13316" width="7.140625" customWidth="1"/>
    <col min="13317" max="13317" width="7" customWidth="1"/>
    <col min="13318" max="13318" width="26.5703125" customWidth="1"/>
    <col min="13319" max="13319" width="9.7109375" customWidth="1"/>
    <col min="13320" max="13320" width="14.85546875" customWidth="1"/>
    <col min="13321" max="13321" width="10.7109375" customWidth="1"/>
    <col min="13322" max="13322" width="9.5703125" customWidth="1"/>
    <col min="13323" max="13323" width="10.5703125" customWidth="1"/>
    <col min="13324" max="13325" width="9.85546875" customWidth="1"/>
    <col min="13326" max="13326" width="10.140625" customWidth="1"/>
    <col min="13327" max="13327" width="9.42578125" customWidth="1"/>
    <col min="13328" max="13328" width="10.28515625" customWidth="1"/>
    <col min="13329" max="13331" width="9.85546875" customWidth="1"/>
    <col min="13332" max="13332" width="9.28515625" customWidth="1"/>
    <col min="13572" max="13572" width="7.140625" customWidth="1"/>
    <col min="13573" max="13573" width="7" customWidth="1"/>
    <col min="13574" max="13574" width="26.5703125" customWidth="1"/>
    <col min="13575" max="13575" width="9.7109375" customWidth="1"/>
    <col min="13576" max="13576" width="14.85546875" customWidth="1"/>
    <col min="13577" max="13577" width="10.7109375" customWidth="1"/>
    <col min="13578" max="13578" width="9.5703125" customWidth="1"/>
    <col min="13579" max="13579" width="10.5703125" customWidth="1"/>
    <col min="13580" max="13581" width="9.85546875" customWidth="1"/>
    <col min="13582" max="13582" width="10.140625" customWidth="1"/>
    <col min="13583" max="13583" width="9.42578125" customWidth="1"/>
    <col min="13584" max="13584" width="10.28515625" customWidth="1"/>
    <col min="13585" max="13587" width="9.85546875" customWidth="1"/>
    <col min="13588" max="13588" width="9.28515625" customWidth="1"/>
    <col min="13828" max="13828" width="7.140625" customWidth="1"/>
    <col min="13829" max="13829" width="7" customWidth="1"/>
    <col min="13830" max="13830" width="26.5703125" customWidth="1"/>
    <col min="13831" max="13831" width="9.7109375" customWidth="1"/>
    <col min="13832" max="13832" width="14.85546875" customWidth="1"/>
    <col min="13833" max="13833" width="10.7109375" customWidth="1"/>
    <col min="13834" max="13834" width="9.5703125" customWidth="1"/>
    <col min="13835" max="13835" width="10.5703125" customWidth="1"/>
    <col min="13836" max="13837" width="9.85546875" customWidth="1"/>
    <col min="13838" max="13838" width="10.140625" customWidth="1"/>
    <col min="13839" max="13839" width="9.42578125" customWidth="1"/>
    <col min="13840" max="13840" width="10.28515625" customWidth="1"/>
    <col min="13841" max="13843" width="9.85546875" customWidth="1"/>
    <col min="13844" max="13844" width="9.28515625" customWidth="1"/>
    <col min="14084" max="14084" width="7.140625" customWidth="1"/>
    <col min="14085" max="14085" width="7" customWidth="1"/>
    <col min="14086" max="14086" width="26.5703125" customWidth="1"/>
    <col min="14087" max="14087" width="9.7109375" customWidth="1"/>
    <col min="14088" max="14088" width="14.85546875" customWidth="1"/>
    <col min="14089" max="14089" width="10.7109375" customWidth="1"/>
    <col min="14090" max="14090" width="9.5703125" customWidth="1"/>
    <col min="14091" max="14091" width="10.5703125" customWidth="1"/>
    <col min="14092" max="14093" width="9.85546875" customWidth="1"/>
    <col min="14094" max="14094" width="10.140625" customWidth="1"/>
    <col min="14095" max="14095" width="9.42578125" customWidth="1"/>
    <col min="14096" max="14096" width="10.28515625" customWidth="1"/>
    <col min="14097" max="14099" width="9.85546875" customWidth="1"/>
    <col min="14100" max="14100" width="9.28515625" customWidth="1"/>
    <col min="14340" max="14340" width="7.140625" customWidth="1"/>
    <col min="14341" max="14341" width="7" customWidth="1"/>
    <col min="14342" max="14342" width="26.5703125" customWidth="1"/>
    <col min="14343" max="14343" width="9.7109375" customWidth="1"/>
    <col min="14344" max="14344" width="14.85546875" customWidth="1"/>
    <col min="14345" max="14345" width="10.7109375" customWidth="1"/>
    <col min="14346" max="14346" width="9.5703125" customWidth="1"/>
    <col min="14347" max="14347" width="10.5703125" customWidth="1"/>
    <col min="14348" max="14349" width="9.85546875" customWidth="1"/>
    <col min="14350" max="14350" width="10.140625" customWidth="1"/>
    <col min="14351" max="14351" width="9.42578125" customWidth="1"/>
    <col min="14352" max="14352" width="10.28515625" customWidth="1"/>
    <col min="14353" max="14355" width="9.85546875" customWidth="1"/>
    <col min="14356" max="14356" width="9.28515625" customWidth="1"/>
    <col min="14596" max="14596" width="7.140625" customWidth="1"/>
    <col min="14597" max="14597" width="7" customWidth="1"/>
    <col min="14598" max="14598" width="26.5703125" customWidth="1"/>
    <col min="14599" max="14599" width="9.7109375" customWidth="1"/>
    <col min="14600" max="14600" width="14.85546875" customWidth="1"/>
    <col min="14601" max="14601" width="10.7109375" customWidth="1"/>
    <col min="14602" max="14602" width="9.5703125" customWidth="1"/>
    <col min="14603" max="14603" width="10.5703125" customWidth="1"/>
    <col min="14604" max="14605" width="9.85546875" customWidth="1"/>
    <col min="14606" max="14606" width="10.140625" customWidth="1"/>
    <col min="14607" max="14607" width="9.42578125" customWidth="1"/>
    <col min="14608" max="14608" width="10.28515625" customWidth="1"/>
    <col min="14609" max="14611" width="9.85546875" customWidth="1"/>
    <col min="14612" max="14612" width="9.28515625" customWidth="1"/>
    <col min="14852" max="14852" width="7.140625" customWidth="1"/>
    <col min="14853" max="14853" width="7" customWidth="1"/>
    <col min="14854" max="14854" width="26.5703125" customWidth="1"/>
    <col min="14855" max="14855" width="9.7109375" customWidth="1"/>
    <col min="14856" max="14856" width="14.85546875" customWidth="1"/>
    <col min="14857" max="14857" width="10.7109375" customWidth="1"/>
    <col min="14858" max="14858" width="9.5703125" customWidth="1"/>
    <col min="14859" max="14859" width="10.5703125" customWidth="1"/>
    <col min="14860" max="14861" width="9.85546875" customWidth="1"/>
    <col min="14862" max="14862" width="10.140625" customWidth="1"/>
    <col min="14863" max="14863" width="9.42578125" customWidth="1"/>
    <col min="14864" max="14864" width="10.28515625" customWidth="1"/>
    <col min="14865" max="14867" width="9.85546875" customWidth="1"/>
    <col min="14868" max="14868" width="9.28515625" customWidth="1"/>
    <col min="15108" max="15108" width="7.140625" customWidth="1"/>
    <col min="15109" max="15109" width="7" customWidth="1"/>
    <col min="15110" max="15110" width="26.5703125" customWidth="1"/>
    <col min="15111" max="15111" width="9.7109375" customWidth="1"/>
    <col min="15112" max="15112" width="14.85546875" customWidth="1"/>
    <col min="15113" max="15113" width="10.7109375" customWidth="1"/>
    <col min="15114" max="15114" width="9.5703125" customWidth="1"/>
    <col min="15115" max="15115" width="10.5703125" customWidth="1"/>
    <col min="15116" max="15117" width="9.85546875" customWidth="1"/>
    <col min="15118" max="15118" width="10.140625" customWidth="1"/>
    <col min="15119" max="15119" width="9.42578125" customWidth="1"/>
    <col min="15120" max="15120" width="10.28515625" customWidth="1"/>
    <col min="15121" max="15123" width="9.85546875" customWidth="1"/>
    <col min="15124" max="15124" width="9.28515625" customWidth="1"/>
    <col min="15364" max="15364" width="7.140625" customWidth="1"/>
    <col min="15365" max="15365" width="7" customWidth="1"/>
    <col min="15366" max="15366" width="26.5703125" customWidth="1"/>
    <col min="15367" max="15367" width="9.7109375" customWidth="1"/>
    <col min="15368" max="15368" width="14.85546875" customWidth="1"/>
    <col min="15369" max="15369" width="10.7109375" customWidth="1"/>
    <col min="15370" max="15370" width="9.5703125" customWidth="1"/>
    <col min="15371" max="15371" width="10.5703125" customWidth="1"/>
    <col min="15372" max="15373" width="9.85546875" customWidth="1"/>
    <col min="15374" max="15374" width="10.140625" customWidth="1"/>
    <col min="15375" max="15375" width="9.42578125" customWidth="1"/>
    <col min="15376" max="15376" width="10.28515625" customWidth="1"/>
    <col min="15377" max="15379" width="9.85546875" customWidth="1"/>
    <col min="15380" max="15380" width="9.28515625" customWidth="1"/>
    <col min="15620" max="15620" width="7.140625" customWidth="1"/>
    <col min="15621" max="15621" width="7" customWidth="1"/>
    <col min="15622" max="15622" width="26.5703125" customWidth="1"/>
    <col min="15623" max="15623" width="9.7109375" customWidth="1"/>
    <col min="15624" max="15624" width="14.85546875" customWidth="1"/>
    <col min="15625" max="15625" width="10.7109375" customWidth="1"/>
    <col min="15626" max="15626" width="9.5703125" customWidth="1"/>
    <col min="15627" max="15627" width="10.5703125" customWidth="1"/>
    <col min="15628" max="15629" width="9.85546875" customWidth="1"/>
    <col min="15630" max="15630" width="10.140625" customWidth="1"/>
    <col min="15631" max="15631" width="9.42578125" customWidth="1"/>
    <col min="15632" max="15632" width="10.28515625" customWidth="1"/>
    <col min="15633" max="15635" width="9.85546875" customWidth="1"/>
    <col min="15636" max="15636" width="9.28515625" customWidth="1"/>
    <col min="15876" max="15876" width="7.140625" customWidth="1"/>
    <col min="15877" max="15877" width="7" customWidth="1"/>
    <col min="15878" max="15878" width="26.5703125" customWidth="1"/>
    <col min="15879" max="15879" width="9.7109375" customWidth="1"/>
    <col min="15880" max="15880" width="14.85546875" customWidth="1"/>
    <col min="15881" max="15881" width="10.7109375" customWidth="1"/>
    <col min="15882" max="15882" width="9.5703125" customWidth="1"/>
    <col min="15883" max="15883" width="10.5703125" customWidth="1"/>
    <col min="15884" max="15885" width="9.85546875" customWidth="1"/>
    <col min="15886" max="15886" width="10.140625" customWidth="1"/>
    <col min="15887" max="15887" width="9.42578125" customWidth="1"/>
    <col min="15888" max="15888" width="10.28515625" customWidth="1"/>
    <col min="15889" max="15891" width="9.85546875" customWidth="1"/>
    <col min="15892" max="15892" width="9.28515625" customWidth="1"/>
    <col min="16132" max="16132" width="7.140625" customWidth="1"/>
    <col min="16133" max="16133" width="7" customWidth="1"/>
    <col min="16134" max="16134" width="26.5703125" customWidth="1"/>
    <col min="16135" max="16135" width="9.7109375" customWidth="1"/>
    <col min="16136" max="16136" width="14.85546875" customWidth="1"/>
    <col min="16137" max="16137" width="10.7109375" customWidth="1"/>
    <col min="16138" max="16138" width="9.5703125" customWidth="1"/>
    <col min="16139" max="16139" width="10.5703125" customWidth="1"/>
    <col min="16140" max="16141" width="9.85546875" customWidth="1"/>
    <col min="16142" max="16142" width="10.140625" customWidth="1"/>
    <col min="16143" max="16143" width="9.42578125" customWidth="1"/>
    <col min="16144" max="16144" width="10.28515625" customWidth="1"/>
    <col min="16145" max="16147" width="9.85546875" customWidth="1"/>
    <col min="16148" max="16148" width="9.28515625" customWidth="1"/>
  </cols>
  <sheetData>
    <row r="1" spans="1:20">
      <c r="A1" s="158"/>
      <c r="B1" s="159" t="s">
        <v>208</v>
      </c>
      <c r="C1" s="1912" t="s">
        <v>1847</v>
      </c>
      <c r="D1" s="1913"/>
      <c r="E1" s="1913"/>
      <c r="F1" s="1913"/>
      <c r="G1" s="1913"/>
      <c r="H1" s="1913"/>
      <c r="I1" s="1913"/>
      <c r="J1" s="1913"/>
      <c r="K1" s="1913"/>
      <c r="L1" s="1913"/>
      <c r="M1" s="1913"/>
      <c r="N1" s="1913"/>
      <c r="O1" s="1913"/>
      <c r="P1" s="1913"/>
      <c r="Q1" s="1913"/>
      <c r="R1" s="1913"/>
      <c r="S1" s="1913"/>
    </row>
    <row r="2" spans="1:20">
      <c r="A2" s="158"/>
      <c r="B2" s="159" t="s">
        <v>209</v>
      </c>
      <c r="C2" s="1912">
        <v>17878735</v>
      </c>
      <c r="D2" s="1913"/>
      <c r="E2" s="1913"/>
      <c r="F2" s="1913"/>
      <c r="G2" s="1913"/>
      <c r="H2" s="1913"/>
      <c r="I2" s="1913"/>
      <c r="J2" s="1913"/>
      <c r="K2" s="1913"/>
      <c r="L2" s="1913"/>
      <c r="M2" s="1913"/>
      <c r="N2" s="1913"/>
      <c r="O2" s="1913"/>
      <c r="P2" s="1913"/>
      <c r="Q2" s="1913"/>
      <c r="R2" s="1913"/>
      <c r="S2" s="1913"/>
    </row>
    <row r="3" spans="1:20">
      <c r="A3" s="158"/>
      <c r="B3" s="159" t="s">
        <v>211</v>
      </c>
      <c r="C3" s="1912" t="s">
        <v>1812</v>
      </c>
      <c r="D3" s="1913"/>
      <c r="E3" s="1913"/>
      <c r="F3" s="1913"/>
      <c r="G3" s="1913"/>
      <c r="H3" s="1913"/>
      <c r="I3" s="1913"/>
      <c r="J3" s="1913"/>
      <c r="K3" s="1913"/>
      <c r="L3" s="1913"/>
      <c r="M3" s="1913"/>
      <c r="N3" s="1913"/>
      <c r="O3" s="1913"/>
      <c r="P3" s="1913"/>
      <c r="Q3" s="1913"/>
      <c r="R3" s="1913"/>
      <c r="S3" s="1913"/>
    </row>
    <row r="4" spans="1:20" ht="14.25">
      <c r="A4" s="158"/>
      <c r="B4" s="159" t="s">
        <v>210</v>
      </c>
      <c r="C4" s="1914" t="s">
        <v>252</v>
      </c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</row>
    <row r="5" spans="1:20" ht="14.25">
      <c r="A5" s="158"/>
      <c r="B5" s="159" t="s">
        <v>251</v>
      </c>
      <c r="C5" s="163"/>
      <c r="D5" s="164"/>
      <c r="E5" s="164"/>
      <c r="F5" s="165"/>
    </row>
    <row r="8" spans="1:20">
      <c r="R8" s="2"/>
      <c r="T8" s="649"/>
    </row>
    <row r="9" spans="1:20" ht="33" customHeight="1">
      <c r="A9" s="1925" t="s">
        <v>6</v>
      </c>
      <c r="B9" s="1926" t="s">
        <v>56</v>
      </c>
      <c r="C9" s="1926" t="s">
        <v>207</v>
      </c>
      <c r="D9" s="1926" t="s">
        <v>1801</v>
      </c>
      <c r="E9" s="1916" t="s">
        <v>1802</v>
      </c>
      <c r="F9" s="1916"/>
      <c r="G9" s="1916" t="s">
        <v>1803</v>
      </c>
      <c r="H9" s="1916"/>
      <c r="I9" s="1919" t="s">
        <v>1804</v>
      </c>
      <c r="J9" s="1920"/>
      <c r="K9" s="1921"/>
      <c r="L9" s="1922" t="s">
        <v>1805</v>
      </c>
      <c r="M9" s="1923"/>
      <c r="N9" s="1924"/>
      <c r="O9" s="1919" t="s">
        <v>1806</v>
      </c>
      <c r="P9" s="1920"/>
      <c r="Q9" s="1921"/>
      <c r="R9" s="1919" t="s">
        <v>1807</v>
      </c>
      <c r="S9" s="1920"/>
      <c r="T9" s="1921"/>
    </row>
    <row r="10" spans="1:20" ht="23.25" thickBot="1">
      <c r="A10" s="1925"/>
      <c r="B10" s="1926"/>
      <c r="C10" s="1926"/>
      <c r="D10" s="1926"/>
      <c r="E10" s="535" t="s">
        <v>368</v>
      </c>
      <c r="F10" s="535" t="s">
        <v>1813</v>
      </c>
      <c r="G10" s="535" t="s">
        <v>368</v>
      </c>
      <c r="H10" s="535" t="s">
        <v>1813</v>
      </c>
      <c r="I10" s="145" t="s">
        <v>368</v>
      </c>
      <c r="J10" s="652" t="s">
        <v>1813</v>
      </c>
      <c r="K10" s="653"/>
      <c r="L10" s="654" t="s">
        <v>368</v>
      </c>
      <c r="M10" s="652" t="s">
        <v>1813</v>
      </c>
      <c r="N10" s="653"/>
      <c r="O10" s="652" t="s">
        <v>368</v>
      </c>
      <c r="P10" s="145" t="s">
        <v>1813</v>
      </c>
      <c r="Q10" s="646"/>
      <c r="R10" s="644" t="s">
        <v>368</v>
      </c>
      <c r="S10" s="644" t="s">
        <v>1813</v>
      </c>
      <c r="T10" s="650"/>
    </row>
    <row r="11" spans="1:20" ht="13.5" thickTop="1">
      <c r="A11" s="195">
        <v>1</v>
      </c>
      <c r="B11" s="1805" t="s">
        <v>1798</v>
      </c>
      <c r="C11" s="534">
        <v>80</v>
      </c>
      <c r="D11" s="193">
        <v>4</v>
      </c>
      <c r="E11" s="536"/>
      <c r="F11" s="536"/>
      <c r="G11" s="536"/>
      <c r="H11" s="536"/>
      <c r="I11" s="194">
        <v>1710</v>
      </c>
      <c r="J11" s="655">
        <v>996</v>
      </c>
      <c r="K11" s="656">
        <f>+J11/I11</f>
        <v>0.58245614035087723</v>
      </c>
      <c r="L11" s="657">
        <v>2490</v>
      </c>
      <c r="M11" s="655">
        <f>1077+157</f>
        <v>1234</v>
      </c>
      <c r="N11" s="656">
        <f>+M11/L11</f>
        <v>0.49558232931726909</v>
      </c>
      <c r="O11" s="655">
        <f>+I11</f>
        <v>1710</v>
      </c>
      <c r="P11" s="194">
        <f>+J11</f>
        <v>996</v>
      </c>
      <c r="Q11" s="647">
        <f>+P11/O11</f>
        <v>0.58245614035087723</v>
      </c>
      <c r="R11" s="194">
        <f>+L11</f>
        <v>2490</v>
      </c>
      <c r="S11" s="194">
        <f>+M11</f>
        <v>1234</v>
      </c>
      <c r="T11" s="647">
        <f>+S11/R11</f>
        <v>0.49558232931726909</v>
      </c>
    </row>
    <row r="12" spans="1:20">
      <c r="A12" s="195">
        <v>2</v>
      </c>
      <c r="B12" s="1805" t="s">
        <v>1799</v>
      </c>
      <c r="C12" s="534">
        <v>30</v>
      </c>
      <c r="D12" s="193"/>
      <c r="E12" s="536"/>
      <c r="F12" s="536"/>
      <c r="G12" s="536"/>
      <c r="H12" s="536"/>
      <c r="I12" s="194">
        <v>375</v>
      </c>
      <c r="J12" s="655">
        <v>167</v>
      </c>
      <c r="K12" s="656">
        <f t="shared" ref="K12:K17" si="0">+J12/I12</f>
        <v>0.44533333333333336</v>
      </c>
      <c r="L12" s="657">
        <v>375</v>
      </c>
      <c r="M12" s="655">
        <v>207</v>
      </c>
      <c r="N12" s="656">
        <f t="shared" ref="N12:N17" si="1">+M12/L12</f>
        <v>0.55200000000000005</v>
      </c>
      <c r="O12" s="655">
        <f t="shared" ref="O12:O16" si="2">+I12</f>
        <v>375</v>
      </c>
      <c r="P12" s="194">
        <f t="shared" ref="P12:P16" si="3">+J12</f>
        <v>167</v>
      </c>
      <c r="Q12" s="647">
        <f t="shared" ref="Q12:Q17" si="4">+P12/O12</f>
        <v>0.44533333333333336</v>
      </c>
      <c r="R12" s="194">
        <f t="shared" ref="R12:R16" si="5">+L12</f>
        <v>375</v>
      </c>
      <c r="S12" s="194">
        <f t="shared" ref="S12:S16" si="6">+M12</f>
        <v>207</v>
      </c>
      <c r="T12" s="647">
        <f t="shared" ref="T12:T17" si="7">+S12/R12</f>
        <v>0.55200000000000005</v>
      </c>
    </row>
    <row r="13" spans="1:20" ht="28.5" customHeight="1">
      <c r="A13" s="196">
        <v>3</v>
      </c>
      <c r="B13" s="1805" t="s">
        <v>1800</v>
      </c>
      <c r="C13" s="534">
        <v>35</v>
      </c>
      <c r="D13" s="193">
        <v>1</v>
      </c>
      <c r="E13" s="536"/>
      <c r="F13" s="536"/>
      <c r="G13" s="536"/>
      <c r="H13" s="536"/>
      <c r="I13" s="194">
        <v>1275</v>
      </c>
      <c r="J13" s="655">
        <v>536</v>
      </c>
      <c r="K13" s="656">
        <f t="shared" si="0"/>
        <v>0.42039215686274511</v>
      </c>
      <c r="L13" s="657">
        <v>1510</v>
      </c>
      <c r="M13" s="655">
        <f>228+436</f>
        <v>664</v>
      </c>
      <c r="N13" s="656">
        <f t="shared" si="1"/>
        <v>0.43973509933774835</v>
      </c>
      <c r="O13" s="655">
        <f t="shared" si="2"/>
        <v>1275</v>
      </c>
      <c r="P13" s="194">
        <f t="shared" si="3"/>
        <v>536</v>
      </c>
      <c r="Q13" s="647">
        <f t="shared" si="4"/>
        <v>0.42039215686274511</v>
      </c>
      <c r="R13" s="194">
        <f t="shared" si="5"/>
        <v>1510</v>
      </c>
      <c r="S13" s="194">
        <f t="shared" si="6"/>
        <v>664</v>
      </c>
      <c r="T13" s="647">
        <f t="shared" si="7"/>
        <v>0.43973509933774835</v>
      </c>
    </row>
    <row r="14" spans="1:20">
      <c r="A14" s="195">
        <v>4</v>
      </c>
      <c r="B14" s="1805" t="s">
        <v>1982</v>
      </c>
      <c r="C14" s="534">
        <v>15</v>
      </c>
      <c r="D14" s="193">
        <v>1</v>
      </c>
      <c r="E14" s="536"/>
      <c r="F14" s="536"/>
      <c r="G14" s="536"/>
      <c r="H14" s="536"/>
      <c r="I14" s="194">
        <v>730</v>
      </c>
      <c r="J14" s="655">
        <v>413</v>
      </c>
      <c r="K14" s="656">
        <f t="shared" si="0"/>
        <v>0.5657534246575342</v>
      </c>
      <c r="L14" s="657">
        <v>775</v>
      </c>
      <c r="M14" s="655">
        <v>512</v>
      </c>
      <c r="N14" s="656">
        <f t="shared" si="1"/>
        <v>0.66064516129032258</v>
      </c>
      <c r="O14" s="655">
        <f t="shared" si="2"/>
        <v>730</v>
      </c>
      <c r="P14" s="194">
        <f t="shared" si="3"/>
        <v>413</v>
      </c>
      <c r="Q14" s="647">
        <f t="shared" si="4"/>
        <v>0.5657534246575342</v>
      </c>
      <c r="R14" s="194">
        <f t="shared" si="5"/>
        <v>775</v>
      </c>
      <c r="S14" s="194">
        <f t="shared" si="6"/>
        <v>512</v>
      </c>
      <c r="T14" s="647">
        <f t="shared" si="7"/>
        <v>0.66064516129032258</v>
      </c>
    </row>
    <row r="15" spans="1:20">
      <c r="A15" s="195">
        <v>5</v>
      </c>
      <c r="B15" s="1805" t="s">
        <v>1983</v>
      </c>
      <c r="C15" s="534">
        <v>60</v>
      </c>
      <c r="D15" s="193">
        <v>1</v>
      </c>
      <c r="E15" s="536"/>
      <c r="F15" s="536"/>
      <c r="G15" s="536"/>
      <c r="H15" s="536"/>
      <c r="I15" s="194">
        <v>500</v>
      </c>
      <c r="J15" s="655">
        <v>280</v>
      </c>
      <c r="K15" s="656">
        <f t="shared" si="0"/>
        <v>0.56000000000000005</v>
      </c>
      <c r="L15" s="657">
        <v>535</v>
      </c>
      <c r="M15" s="655">
        <f>140+207</f>
        <v>347</v>
      </c>
      <c r="N15" s="656">
        <f t="shared" si="1"/>
        <v>0.6485981308411215</v>
      </c>
      <c r="O15" s="655">
        <f t="shared" si="2"/>
        <v>500</v>
      </c>
      <c r="P15" s="194">
        <f t="shared" si="3"/>
        <v>280</v>
      </c>
      <c r="Q15" s="647">
        <f t="shared" si="4"/>
        <v>0.56000000000000005</v>
      </c>
      <c r="R15" s="194">
        <f t="shared" si="5"/>
        <v>535</v>
      </c>
      <c r="S15" s="194">
        <f t="shared" si="6"/>
        <v>347</v>
      </c>
      <c r="T15" s="647">
        <f t="shared" si="7"/>
        <v>0.6485981308411215</v>
      </c>
    </row>
    <row r="16" spans="1:20">
      <c r="A16" s="195">
        <v>6</v>
      </c>
      <c r="B16" s="1805" t="s">
        <v>1851</v>
      </c>
      <c r="C16" s="534">
        <v>15</v>
      </c>
      <c r="D16" s="193">
        <v>1</v>
      </c>
      <c r="E16" s="536"/>
      <c r="F16" s="536"/>
      <c r="G16" s="536"/>
      <c r="H16" s="536"/>
      <c r="I16" s="194">
        <v>1070</v>
      </c>
      <c r="J16" s="655">
        <v>570</v>
      </c>
      <c r="K16" s="656">
        <f t="shared" si="0"/>
        <v>0.53271028037383172</v>
      </c>
      <c r="L16" s="657">
        <v>1475</v>
      </c>
      <c r="M16" s="655">
        <f>420+287</f>
        <v>707</v>
      </c>
      <c r="N16" s="656">
        <f t="shared" si="1"/>
        <v>0.47932203389830508</v>
      </c>
      <c r="O16" s="655">
        <f t="shared" si="2"/>
        <v>1070</v>
      </c>
      <c r="P16" s="194">
        <f t="shared" si="3"/>
        <v>570</v>
      </c>
      <c r="Q16" s="647">
        <f t="shared" si="4"/>
        <v>0.53271028037383172</v>
      </c>
      <c r="R16" s="194">
        <f t="shared" si="5"/>
        <v>1475</v>
      </c>
      <c r="S16" s="194">
        <f t="shared" si="6"/>
        <v>707</v>
      </c>
      <c r="T16" s="647">
        <f t="shared" si="7"/>
        <v>0.47932203389830508</v>
      </c>
    </row>
    <row r="17" spans="1:20" s="538" customFormat="1">
      <c r="A17" s="192"/>
      <c r="B17" s="1787" t="s">
        <v>2</v>
      </c>
      <c r="C17" s="526">
        <f t="shared" ref="C17:S17" si="8">SUM(C11:C16)</f>
        <v>235</v>
      </c>
      <c r="D17" s="526">
        <f t="shared" si="8"/>
        <v>8</v>
      </c>
      <c r="E17" s="537">
        <f t="shared" si="8"/>
        <v>0</v>
      </c>
      <c r="F17" s="537">
        <f t="shared" si="8"/>
        <v>0</v>
      </c>
      <c r="G17" s="537">
        <f t="shared" si="8"/>
        <v>0</v>
      </c>
      <c r="H17" s="537">
        <f t="shared" si="8"/>
        <v>0</v>
      </c>
      <c r="I17" s="192">
        <f t="shared" si="8"/>
        <v>5660</v>
      </c>
      <c r="J17" s="658">
        <f t="shared" si="8"/>
        <v>2962</v>
      </c>
      <c r="K17" s="656">
        <f t="shared" si="0"/>
        <v>0.52332155477031805</v>
      </c>
      <c r="L17" s="659">
        <f t="shared" si="8"/>
        <v>7160</v>
      </c>
      <c r="M17" s="658">
        <f t="shared" si="8"/>
        <v>3671</v>
      </c>
      <c r="N17" s="656">
        <f t="shared" si="1"/>
        <v>0.51270949720670389</v>
      </c>
      <c r="O17" s="658">
        <f t="shared" si="8"/>
        <v>5660</v>
      </c>
      <c r="P17" s="192">
        <f t="shared" si="8"/>
        <v>2962</v>
      </c>
      <c r="Q17" s="647">
        <f t="shared" si="4"/>
        <v>0.52332155477031805</v>
      </c>
      <c r="R17" s="192">
        <f t="shared" si="8"/>
        <v>7160</v>
      </c>
      <c r="S17" s="192">
        <f t="shared" si="8"/>
        <v>3671</v>
      </c>
      <c r="T17" s="647">
        <f t="shared" si="7"/>
        <v>0.51270949720670389</v>
      </c>
    </row>
    <row r="18" spans="1:20" ht="28.5" customHeight="1">
      <c r="A18" s="1917" t="s">
        <v>1984</v>
      </c>
      <c r="B18" s="1917"/>
      <c r="C18" s="1917"/>
      <c r="D18" s="1917"/>
      <c r="E18" s="1917"/>
      <c r="F18" s="1917"/>
      <c r="G18" s="1917"/>
      <c r="H18" s="1917"/>
      <c r="I18" s="1917"/>
      <c r="J18" s="1917"/>
      <c r="K18" s="1917"/>
      <c r="L18" s="1917"/>
      <c r="M18" s="1917"/>
      <c r="N18" s="1917"/>
      <c r="O18" s="1917"/>
      <c r="P18" s="1917"/>
      <c r="Q18" s="1917"/>
      <c r="R18" s="1918"/>
      <c r="S18" s="1918"/>
      <c r="T18" s="643"/>
    </row>
    <row r="19" spans="1:20" s="191" customFormat="1">
      <c r="A19" s="1"/>
      <c r="B19" s="190"/>
      <c r="C19" s="190"/>
      <c r="D19" s="190"/>
      <c r="E19" s="190"/>
      <c r="F19" s="190"/>
      <c r="G19" s="190"/>
      <c r="H19" s="190"/>
      <c r="I19" s="190"/>
      <c r="J19" s="660"/>
      <c r="K19" s="661"/>
      <c r="L19" s="662"/>
      <c r="M19" s="660"/>
      <c r="N19" s="661"/>
      <c r="O19" s="198"/>
      <c r="P19" s="1"/>
      <c r="Q19" s="645"/>
      <c r="R19" s="1"/>
      <c r="S19" s="1"/>
      <c r="T19" s="645"/>
    </row>
    <row r="25" spans="1:20">
      <c r="P25" s="198"/>
      <c r="Q25" s="648"/>
    </row>
  </sheetData>
  <mergeCells count="15">
    <mergeCell ref="A18:S18"/>
    <mergeCell ref="R9:T9"/>
    <mergeCell ref="O9:Q9"/>
    <mergeCell ref="L9:N9"/>
    <mergeCell ref="I9:K9"/>
    <mergeCell ref="A9:A10"/>
    <mergeCell ref="B9:B10"/>
    <mergeCell ref="C9:C10"/>
    <mergeCell ref="D9:D10"/>
    <mergeCell ref="E9:F9"/>
    <mergeCell ref="C1:S1"/>
    <mergeCell ref="C2:S2"/>
    <mergeCell ref="C3:S3"/>
    <mergeCell ref="C4:S4"/>
    <mergeCell ref="G9:H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topLeftCell="B97" zoomScaleSheetLayoutView="100" workbookViewId="0">
      <selection activeCell="C7" sqref="C7:D7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58"/>
      <c r="B1" s="159" t="s">
        <v>208</v>
      </c>
      <c r="C1" s="160" t="e">
        <f>Kadar.ode.!#REF!</f>
        <v>#REF!</v>
      </c>
      <c r="D1" s="161"/>
      <c r="E1" s="161"/>
      <c r="F1" s="162"/>
      <c r="G1" s="83"/>
    </row>
    <row r="2" spans="1:7">
      <c r="A2" s="158"/>
      <c r="B2" s="159" t="s">
        <v>209</v>
      </c>
      <c r="C2" s="160" t="e">
        <f>Kadar.ode.!#REF!</f>
        <v>#REF!</v>
      </c>
      <c r="D2" s="161"/>
      <c r="E2" s="161"/>
      <c r="F2" s="162"/>
      <c r="G2" s="83"/>
    </row>
    <row r="3" spans="1:7">
      <c r="A3" s="158"/>
      <c r="B3" s="159" t="s">
        <v>211</v>
      </c>
      <c r="C3" s="160" t="e">
        <f>Kadar.ode.!#REF!</f>
        <v>#REF!</v>
      </c>
      <c r="D3" s="161"/>
      <c r="E3" s="161"/>
      <c r="F3" s="162"/>
      <c r="G3" s="83"/>
    </row>
    <row r="4" spans="1:7" ht="14.25">
      <c r="A4" s="158"/>
      <c r="B4" s="159" t="s">
        <v>210</v>
      </c>
      <c r="C4" s="163" t="s">
        <v>1793</v>
      </c>
      <c r="D4" s="164"/>
      <c r="E4" s="164"/>
      <c r="F4" s="165"/>
      <c r="G4" s="83"/>
    </row>
    <row r="5" spans="1:7" ht="14.25">
      <c r="A5" s="158"/>
      <c r="B5" s="159" t="s">
        <v>251</v>
      </c>
      <c r="C5" s="163"/>
      <c r="D5" s="164"/>
      <c r="E5" s="164"/>
      <c r="F5" s="165"/>
      <c r="G5" s="83"/>
    </row>
    <row r="6" spans="1:7" ht="15.75">
      <c r="A6" s="100"/>
      <c r="B6" s="100"/>
      <c r="C6" s="100"/>
      <c r="D6" s="100"/>
      <c r="E6" s="100"/>
      <c r="F6" s="80"/>
      <c r="G6" s="80"/>
    </row>
    <row r="7" spans="1:7" ht="26.25" thickBot="1">
      <c r="A7" s="156" t="s">
        <v>369</v>
      </c>
      <c r="B7" s="157" t="s">
        <v>370</v>
      </c>
      <c r="C7" s="145" t="s">
        <v>368</v>
      </c>
      <c r="D7" s="145" t="s">
        <v>1813</v>
      </c>
      <c r="E7" s="166"/>
      <c r="F7" s="167"/>
      <c r="G7" s="39"/>
    </row>
    <row r="8" spans="1:7" ht="19.5" thickTop="1">
      <c r="A8" s="156"/>
      <c r="B8" s="168" t="s">
        <v>371</v>
      </c>
      <c r="C8" s="169">
        <f>SUM(C9:C734)</f>
        <v>0</v>
      </c>
      <c r="D8" s="169">
        <f>SUM(D9:D734)</f>
        <v>0</v>
      </c>
      <c r="E8" s="166"/>
      <c r="F8" s="167"/>
      <c r="G8" s="39"/>
    </row>
    <row r="9" spans="1:7" ht="18.75">
      <c r="A9" s="170">
        <v>0</v>
      </c>
      <c r="B9" s="168" t="s">
        <v>1810</v>
      </c>
      <c r="C9" s="169"/>
      <c r="D9" s="169"/>
    </row>
    <row r="10" spans="1:7">
      <c r="A10" s="171" t="s">
        <v>372</v>
      </c>
      <c r="B10" s="172" t="s">
        <v>373</v>
      </c>
      <c r="C10" s="149"/>
      <c r="D10" s="149"/>
    </row>
    <row r="11" spans="1:7">
      <c r="A11" s="171" t="s">
        <v>374</v>
      </c>
      <c r="B11" s="172" t="s">
        <v>375</v>
      </c>
      <c r="C11" s="149"/>
      <c r="D11" s="149"/>
    </row>
    <row r="12" spans="1:7">
      <c r="A12" s="171" t="s">
        <v>376</v>
      </c>
      <c r="B12" s="172" t="s">
        <v>377</v>
      </c>
      <c r="C12" s="149"/>
      <c r="D12" s="149"/>
    </row>
    <row r="13" spans="1:7">
      <c r="A13" s="171" t="s">
        <v>378</v>
      </c>
      <c r="B13" s="172" t="s">
        <v>379</v>
      </c>
      <c r="C13" s="149"/>
      <c r="D13" s="149"/>
    </row>
    <row r="14" spans="1:7" ht="25.5">
      <c r="A14" s="171" t="s">
        <v>380</v>
      </c>
      <c r="B14" s="172" t="s">
        <v>381</v>
      </c>
      <c r="C14" s="149"/>
      <c r="D14" s="149"/>
    </row>
    <row r="15" spans="1:7">
      <c r="A15" s="171" t="s">
        <v>382</v>
      </c>
      <c r="B15" s="172" t="s">
        <v>383</v>
      </c>
      <c r="C15" s="149"/>
      <c r="D15" s="149"/>
    </row>
    <row r="16" spans="1:7">
      <c r="A16" s="171" t="s">
        <v>384</v>
      </c>
      <c r="B16" s="172" t="s">
        <v>385</v>
      </c>
      <c r="C16" s="149"/>
      <c r="D16" s="149"/>
    </row>
    <row r="17" spans="1:4">
      <c r="A17" s="171" t="s">
        <v>386</v>
      </c>
      <c r="B17" s="173" t="s">
        <v>387</v>
      </c>
      <c r="C17" s="149"/>
      <c r="D17" s="149"/>
    </row>
    <row r="18" spans="1:4">
      <c r="A18" s="171" t="s">
        <v>388</v>
      </c>
      <c r="B18" s="173" t="s">
        <v>389</v>
      </c>
      <c r="C18" s="149"/>
      <c r="D18" s="149"/>
    </row>
    <row r="19" spans="1:4">
      <c r="A19" s="171" t="s">
        <v>390</v>
      </c>
      <c r="B19" s="173" t="s">
        <v>391</v>
      </c>
      <c r="C19" s="149"/>
      <c r="D19" s="149"/>
    </row>
    <row r="20" spans="1:4">
      <c r="A20" s="171" t="s">
        <v>392</v>
      </c>
      <c r="B20" s="173" t="s">
        <v>393</v>
      </c>
      <c r="C20" s="149"/>
      <c r="D20" s="149"/>
    </row>
    <row r="21" spans="1:4">
      <c r="A21" s="171" t="s">
        <v>394</v>
      </c>
      <c r="B21" s="173" t="s">
        <v>395</v>
      </c>
      <c r="C21" s="149"/>
      <c r="D21" s="149"/>
    </row>
    <row r="22" spans="1:4">
      <c r="A22" s="171" t="s">
        <v>396</v>
      </c>
      <c r="B22" s="173" t="s">
        <v>397</v>
      </c>
      <c r="C22" s="149"/>
      <c r="D22" s="149"/>
    </row>
    <row r="23" spans="1:4">
      <c r="A23" s="171" t="s">
        <v>398</v>
      </c>
      <c r="B23" s="173" t="s">
        <v>399</v>
      </c>
      <c r="C23" s="149"/>
      <c r="D23" s="149"/>
    </row>
    <row r="24" spans="1:4">
      <c r="A24" s="171" t="s">
        <v>400</v>
      </c>
      <c r="B24" s="173" t="s">
        <v>401</v>
      </c>
      <c r="C24" s="149"/>
      <c r="D24" s="149"/>
    </row>
    <row r="25" spans="1:4">
      <c r="A25" s="171" t="s">
        <v>402</v>
      </c>
      <c r="B25" s="173" t="s">
        <v>403</v>
      </c>
      <c r="C25" s="149"/>
      <c r="D25" s="149"/>
    </row>
    <row r="26" spans="1:4">
      <c r="A26" s="171" t="s">
        <v>404</v>
      </c>
      <c r="B26" s="173" t="s">
        <v>405</v>
      </c>
      <c r="C26" s="149"/>
      <c r="D26" s="149"/>
    </row>
    <row r="27" spans="1:4" ht="18.75">
      <c r="A27" s="170">
        <v>1</v>
      </c>
      <c r="B27" s="174" t="s">
        <v>406</v>
      </c>
      <c r="C27" s="169"/>
      <c r="D27" s="169"/>
    </row>
    <row r="28" spans="1:4">
      <c r="A28" s="171" t="s">
        <v>407</v>
      </c>
      <c r="B28" s="173" t="s">
        <v>408</v>
      </c>
      <c r="C28" s="149"/>
      <c r="D28" s="149"/>
    </row>
    <row r="29" spans="1:4">
      <c r="A29" s="171" t="s">
        <v>409</v>
      </c>
      <c r="B29" s="173" t="s">
        <v>410</v>
      </c>
      <c r="C29" s="149"/>
      <c r="D29" s="149"/>
    </row>
    <row r="30" spans="1:4">
      <c r="A30" s="171" t="s">
        <v>411</v>
      </c>
      <c r="B30" s="172" t="s">
        <v>412</v>
      </c>
      <c r="C30" s="149"/>
      <c r="D30" s="149"/>
    </row>
    <row r="31" spans="1:4">
      <c r="A31" s="171" t="s">
        <v>413</v>
      </c>
      <c r="B31" s="172" t="s">
        <v>414</v>
      </c>
      <c r="C31" s="149"/>
      <c r="D31" s="149"/>
    </row>
    <row r="32" spans="1:4">
      <c r="A32" s="171" t="s">
        <v>415</v>
      </c>
      <c r="B32" s="172" t="s">
        <v>416</v>
      </c>
      <c r="C32" s="149"/>
      <c r="D32" s="149"/>
    </row>
    <row r="33" spans="1:4">
      <c r="A33" s="171" t="s">
        <v>417</v>
      </c>
      <c r="B33" s="172" t="s">
        <v>418</v>
      </c>
      <c r="C33" s="149"/>
      <c r="D33" s="149"/>
    </row>
    <row r="34" spans="1:4">
      <c r="A34" s="171" t="s">
        <v>419</v>
      </c>
      <c r="B34" s="172" t="s">
        <v>420</v>
      </c>
      <c r="C34" s="149"/>
      <c r="D34" s="149"/>
    </row>
    <row r="35" spans="1:4">
      <c r="A35" s="171" t="s">
        <v>421</v>
      </c>
      <c r="B35" s="172" t="s">
        <v>422</v>
      </c>
      <c r="C35" s="149"/>
      <c r="D35" s="149"/>
    </row>
    <row r="36" spans="1:4">
      <c r="A36" s="171" t="s">
        <v>423</v>
      </c>
      <c r="B36" s="172" t="s">
        <v>424</v>
      </c>
      <c r="C36" s="149"/>
      <c r="D36" s="149"/>
    </row>
    <row r="37" spans="1:4">
      <c r="A37" s="171" t="s">
        <v>425</v>
      </c>
      <c r="B37" s="172" t="s">
        <v>426</v>
      </c>
      <c r="C37" s="149"/>
      <c r="D37" s="149"/>
    </row>
    <row r="38" spans="1:4" ht="25.5">
      <c r="A38" s="171" t="s">
        <v>427</v>
      </c>
      <c r="B38" s="175" t="s">
        <v>428</v>
      </c>
      <c r="C38" s="149"/>
      <c r="D38" s="149"/>
    </row>
    <row r="39" spans="1:4" ht="25.5">
      <c r="A39" s="171" t="s">
        <v>429</v>
      </c>
      <c r="B39" s="175" t="s">
        <v>430</v>
      </c>
      <c r="C39" s="149"/>
      <c r="D39" s="149"/>
    </row>
    <row r="40" spans="1:4" ht="25.5">
      <c r="A40" s="171" t="s">
        <v>431</v>
      </c>
      <c r="B40" s="175" t="s">
        <v>432</v>
      </c>
      <c r="C40" s="149"/>
      <c r="D40" s="149"/>
    </row>
    <row r="41" spans="1:4" ht="25.5">
      <c r="A41" s="171" t="s">
        <v>433</v>
      </c>
      <c r="B41" s="175" t="s">
        <v>434</v>
      </c>
      <c r="C41" s="149"/>
      <c r="D41" s="149"/>
    </row>
    <row r="42" spans="1:4">
      <c r="A42" s="171" t="s">
        <v>435</v>
      </c>
      <c r="B42" s="172" t="s">
        <v>436</v>
      </c>
      <c r="C42" s="149"/>
      <c r="D42" s="149"/>
    </row>
    <row r="43" spans="1:4">
      <c r="A43" s="171" t="s">
        <v>437</v>
      </c>
      <c r="B43" s="173" t="s">
        <v>438</v>
      </c>
      <c r="C43" s="149"/>
      <c r="D43" s="149"/>
    </row>
    <row r="44" spans="1:4">
      <c r="A44" s="171" t="s">
        <v>439</v>
      </c>
      <c r="B44" s="173" t="s">
        <v>440</v>
      </c>
      <c r="C44" s="149"/>
      <c r="D44" s="149"/>
    </row>
    <row r="45" spans="1:4">
      <c r="A45" s="171" t="s">
        <v>441</v>
      </c>
      <c r="B45" s="173" t="s">
        <v>442</v>
      </c>
      <c r="C45" s="149"/>
      <c r="D45" s="149"/>
    </row>
    <row r="46" spans="1:4">
      <c r="A46" s="171" t="s">
        <v>443</v>
      </c>
      <c r="B46" s="172" t="s">
        <v>444</v>
      </c>
      <c r="C46" s="149"/>
      <c r="D46" s="149"/>
    </row>
    <row r="47" spans="1:4">
      <c r="A47" s="171" t="s">
        <v>445</v>
      </c>
      <c r="B47" s="172" t="s">
        <v>446</v>
      </c>
      <c r="C47" s="149"/>
      <c r="D47" s="149"/>
    </row>
    <row r="48" spans="1:4">
      <c r="A48" s="171" t="s">
        <v>447</v>
      </c>
      <c r="B48" s="175" t="s">
        <v>448</v>
      </c>
      <c r="C48" s="149"/>
      <c r="D48" s="149"/>
    </row>
    <row r="49" spans="1:4">
      <c r="A49" s="171" t="s">
        <v>449</v>
      </c>
      <c r="B49" s="175" t="s">
        <v>450</v>
      </c>
      <c r="C49" s="149"/>
      <c r="D49" s="149"/>
    </row>
    <row r="50" spans="1:4">
      <c r="A50" s="171" t="s">
        <v>451</v>
      </c>
      <c r="B50" s="172" t="s">
        <v>452</v>
      </c>
      <c r="C50" s="149"/>
      <c r="D50" s="149"/>
    </row>
    <row r="51" spans="1:4">
      <c r="A51" s="171" t="s">
        <v>453</v>
      </c>
      <c r="B51" s="172" t="s">
        <v>454</v>
      </c>
      <c r="C51" s="149"/>
      <c r="D51" s="149"/>
    </row>
    <row r="52" spans="1:4">
      <c r="A52" s="171" t="s">
        <v>455</v>
      </c>
      <c r="B52" s="172" t="s">
        <v>456</v>
      </c>
      <c r="C52" s="149"/>
      <c r="D52" s="149"/>
    </row>
    <row r="53" spans="1:4">
      <c r="A53" s="171" t="s">
        <v>457</v>
      </c>
      <c r="B53" s="172" t="s">
        <v>458</v>
      </c>
      <c r="C53" s="149"/>
      <c r="D53" s="149"/>
    </row>
    <row r="54" spans="1:4">
      <c r="A54" s="171" t="s">
        <v>459</v>
      </c>
      <c r="B54" s="172" t="s">
        <v>460</v>
      </c>
      <c r="C54" s="149"/>
      <c r="D54" s="149"/>
    </row>
    <row r="55" spans="1:4">
      <c r="A55" s="171" t="s">
        <v>461</v>
      </c>
      <c r="B55" s="172" t="s">
        <v>462</v>
      </c>
      <c r="C55" s="149"/>
      <c r="D55" s="149"/>
    </row>
    <row r="56" spans="1:4">
      <c r="A56" s="171" t="s">
        <v>463</v>
      </c>
      <c r="B56" s="172" t="s">
        <v>464</v>
      </c>
      <c r="C56" s="149"/>
      <c r="D56" s="149"/>
    </row>
    <row r="57" spans="1:4">
      <c r="A57" s="171" t="s">
        <v>465</v>
      </c>
      <c r="B57" s="175" t="s">
        <v>466</v>
      </c>
      <c r="C57" s="149"/>
      <c r="D57" s="149"/>
    </row>
    <row r="58" spans="1:4" ht="25.5">
      <c r="A58" s="171" t="s">
        <v>467</v>
      </c>
      <c r="B58" s="175" t="s">
        <v>468</v>
      </c>
      <c r="C58" s="149"/>
      <c r="D58" s="149"/>
    </row>
    <row r="59" spans="1:4" ht="25.5">
      <c r="A59" s="171" t="s">
        <v>469</v>
      </c>
      <c r="B59" s="175" t="s">
        <v>470</v>
      </c>
      <c r="C59" s="149"/>
      <c r="D59" s="149"/>
    </row>
    <row r="60" spans="1:4">
      <c r="A60" s="171" t="s">
        <v>471</v>
      </c>
      <c r="B60" s="172" t="s">
        <v>472</v>
      </c>
      <c r="C60" s="149"/>
      <c r="D60" s="149"/>
    </row>
    <row r="61" spans="1:4">
      <c r="A61" s="171" t="s">
        <v>473</v>
      </c>
      <c r="B61" s="172" t="s">
        <v>474</v>
      </c>
      <c r="C61" s="149"/>
      <c r="D61" s="149"/>
    </row>
    <row r="62" spans="1:4">
      <c r="A62" s="171" t="s">
        <v>475</v>
      </c>
      <c r="B62" s="172" t="s">
        <v>476</v>
      </c>
      <c r="C62" s="149"/>
      <c r="D62" s="149"/>
    </row>
    <row r="63" spans="1:4">
      <c r="A63" s="171" t="s">
        <v>477</v>
      </c>
      <c r="B63" s="172" t="s">
        <v>478</v>
      </c>
      <c r="C63" s="149"/>
      <c r="D63" s="149"/>
    </row>
    <row r="64" spans="1:4">
      <c r="A64" s="176" t="s">
        <v>479</v>
      </c>
      <c r="B64" s="172" t="s">
        <v>480</v>
      </c>
      <c r="C64" s="149"/>
      <c r="D64" s="149"/>
    </row>
    <row r="65" spans="1:4">
      <c r="A65" s="171" t="s">
        <v>481</v>
      </c>
      <c r="B65" s="172" t="s">
        <v>482</v>
      </c>
      <c r="C65" s="149"/>
      <c r="D65" s="149"/>
    </row>
    <row r="66" spans="1:4">
      <c r="A66" s="171" t="s">
        <v>483</v>
      </c>
      <c r="B66" s="172" t="s">
        <v>484</v>
      </c>
      <c r="C66" s="149"/>
      <c r="D66" s="149"/>
    </row>
    <row r="67" spans="1:4">
      <c r="A67" s="171" t="s">
        <v>485</v>
      </c>
      <c r="B67" s="172" t="s">
        <v>486</v>
      </c>
      <c r="C67" s="149"/>
      <c r="D67" s="149"/>
    </row>
    <row r="68" spans="1:4">
      <c r="A68" s="171" t="s">
        <v>487</v>
      </c>
      <c r="B68" s="172" t="s">
        <v>488</v>
      </c>
      <c r="C68" s="149"/>
      <c r="D68" s="149"/>
    </row>
    <row r="69" spans="1:4">
      <c r="A69" s="171" t="s">
        <v>489</v>
      </c>
      <c r="B69" s="172" t="s">
        <v>488</v>
      </c>
      <c r="C69" s="149"/>
      <c r="D69" s="149"/>
    </row>
    <row r="70" spans="1:4">
      <c r="A70" s="171" t="s">
        <v>490</v>
      </c>
      <c r="B70" s="172" t="s">
        <v>491</v>
      </c>
      <c r="C70" s="149"/>
      <c r="D70" s="149"/>
    </row>
    <row r="71" spans="1:4">
      <c r="A71" s="171" t="s">
        <v>492</v>
      </c>
      <c r="B71" s="172" t="s">
        <v>493</v>
      </c>
      <c r="C71" s="149"/>
      <c r="D71" s="149"/>
    </row>
    <row r="72" spans="1:4">
      <c r="A72" s="171" t="s">
        <v>494</v>
      </c>
      <c r="B72" s="172" t="s">
        <v>495</v>
      </c>
      <c r="C72" s="149"/>
      <c r="D72" s="149"/>
    </row>
    <row r="73" spans="1:4">
      <c r="A73" s="171" t="s">
        <v>496</v>
      </c>
      <c r="B73" s="172" t="s">
        <v>497</v>
      </c>
      <c r="C73" s="149"/>
      <c r="D73" s="149"/>
    </row>
    <row r="74" spans="1:4">
      <c r="A74" s="171" t="s">
        <v>498</v>
      </c>
      <c r="B74" s="172" t="s">
        <v>499</v>
      </c>
      <c r="C74" s="149"/>
      <c r="D74" s="149"/>
    </row>
    <row r="75" spans="1:4">
      <c r="A75" s="171" t="s">
        <v>500</v>
      </c>
      <c r="B75" s="172" t="s">
        <v>501</v>
      </c>
      <c r="C75" s="149"/>
      <c r="D75" s="149"/>
    </row>
    <row r="76" spans="1:4">
      <c r="A76" s="171" t="s">
        <v>502</v>
      </c>
      <c r="B76" s="172" t="s">
        <v>503</v>
      </c>
      <c r="C76" s="149"/>
      <c r="D76" s="149"/>
    </row>
    <row r="77" spans="1:4">
      <c r="A77" s="171" t="s">
        <v>504</v>
      </c>
      <c r="B77" s="172" t="s">
        <v>505</v>
      </c>
      <c r="C77" s="149"/>
      <c r="D77" s="149"/>
    </row>
    <row r="78" spans="1:4">
      <c r="A78" s="171" t="s">
        <v>506</v>
      </c>
      <c r="B78" s="172" t="s">
        <v>507</v>
      </c>
      <c r="C78" s="149"/>
      <c r="D78" s="149"/>
    </row>
    <row r="79" spans="1:4">
      <c r="A79" s="171" t="s">
        <v>508</v>
      </c>
      <c r="B79" s="172" t="s">
        <v>509</v>
      </c>
      <c r="C79" s="149"/>
      <c r="D79" s="149"/>
    </row>
    <row r="80" spans="1:4">
      <c r="A80" s="171" t="s">
        <v>510</v>
      </c>
      <c r="B80" s="172" t="s">
        <v>511</v>
      </c>
      <c r="C80" s="149"/>
      <c r="D80" s="149"/>
    </row>
    <row r="81" spans="1:4">
      <c r="A81" s="171" t="s">
        <v>512</v>
      </c>
      <c r="B81" s="172" t="s">
        <v>513</v>
      </c>
      <c r="C81" s="149"/>
      <c r="D81" s="149"/>
    </row>
    <row r="82" spans="1:4">
      <c r="A82" s="171" t="s">
        <v>514</v>
      </c>
      <c r="B82" s="172" t="s">
        <v>515</v>
      </c>
      <c r="C82" s="149"/>
      <c r="D82" s="149"/>
    </row>
    <row r="83" spans="1:4">
      <c r="A83" s="171" t="s">
        <v>516</v>
      </c>
      <c r="B83" s="172" t="s">
        <v>517</v>
      </c>
      <c r="C83" s="149"/>
      <c r="D83" s="149"/>
    </row>
    <row r="84" spans="1:4">
      <c r="A84" s="171" t="s">
        <v>518</v>
      </c>
      <c r="B84" s="172" t="s">
        <v>519</v>
      </c>
      <c r="C84" s="149"/>
      <c r="D84" s="149"/>
    </row>
    <row r="85" spans="1:4">
      <c r="A85" s="171" t="s">
        <v>520</v>
      </c>
      <c r="B85" s="172" t="s">
        <v>521</v>
      </c>
      <c r="C85" s="149"/>
      <c r="D85" s="149"/>
    </row>
    <row r="86" spans="1:4" ht="25.5">
      <c r="A86" s="171" t="s">
        <v>522</v>
      </c>
      <c r="B86" s="172" t="s">
        <v>523</v>
      </c>
      <c r="C86" s="149"/>
      <c r="D86" s="149"/>
    </row>
    <row r="87" spans="1:4" ht="25.5">
      <c r="A87" s="171" t="s">
        <v>524</v>
      </c>
      <c r="B87" s="172" t="s">
        <v>525</v>
      </c>
      <c r="C87" s="149"/>
      <c r="D87" s="149"/>
    </row>
    <row r="88" spans="1:4" ht="25.5">
      <c r="A88" s="171" t="s">
        <v>526</v>
      </c>
      <c r="B88" s="172" t="s">
        <v>527</v>
      </c>
      <c r="C88" s="149"/>
      <c r="D88" s="149"/>
    </row>
    <row r="89" spans="1:4" ht="18.75">
      <c r="A89" s="170">
        <v>2</v>
      </c>
      <c r="B89" s="177" t="s">
        <v>528</v>
      </c>
      <c r="C89" s="169"/>
      <c r="D89" s="169"/>
    </row>
    <row r="90" spans="1:4">
      <c r="A90" s="171" t="s">
        <v>529</v>
      </c>
      <c r="B90" s="172" t="s">
        <v>530</v>
      </c>
      <c r="C90" s="149"/>
      <c r="D90" s="149"/>
    </row>
    <row r="91" spans="1:4">
      <c r="A91" s="171" t="s">
        <v>531</v>
      </c>
      <c r="B91" s="172" t="s">
        <v>532</v>
      </c>
      <c r="C91" s="149"/>
      <c r="D91" s="149"/>
    </row>
    <row r="92" spans="1:4">
      <c r="A92" s="171" t="s">
        <v>533</v>
      </c>
      <c r="B92" s="172" t="s">
        <v>534</v>
      </c>
      <c r="C92" s="149"/>
      <c r="D92" s="149"/>
    </row>
    <row r="93" spans="1:4">
      <c r="A93" s="171" t="s">
        <v>535</v>
      </c>
      <c r="B93" s="175" t="s">
        <v>536</v>
      </c>
      <c r="C93" s="149"/>
      <c r="D93" s="149"/>
    </row>
    <row r="94" spans="1:4">
      <c r="A94" s="171" t="s">
        <v>537</v>
      </c>
      <c r="B94" s="175" t="s">
        <v>538</v>
      </c>
      <c r="C94" s="149"/>
      <c r="D94" s="149"/>
    </row>
    <row r="95" spans="1:4">
      <c r="A95" s="171" t="s">
        <v>539</v>
      </c>
      <c r="B95" s="175" t="s">
        <v>540</v>
      </c>
      <c r="C95" s="149"/>
      <c r="D95" s="149"/>
    </row>
    <row r="96" spans="1:4">
      <c r="A96" s="171" t="s">
        <v>541</v>
      </c>
      <c r="B96" s="175" t="s">
        <v>542</v>
      </c>
      <c r="C96" s="149"/>
      <c r="D96" s="149"/>
    </row>
    <row r="97" spans="1:4">
      <c r="A97" s="171" t="s">
        <v>543</v>
      </c>
      <c r="B97" s="175" t="s">
        <v>544</v>
      </c>
      <c r="C97" s="149"/>
      <c r="D97" s="149"/>
    </row>
    <row r="98" spans="1:4">
      <c r="A98" s="171" t="s">
        <v>545</v>
      </c>
      <c r="B98" s="175" t="s">
        <v>546</v>
      </c>
      <c r="C98" s="149"/>
      <c r="D98" s="149"/>
    </row>
    <row r="99" spans="1:4">
      <c r="A99" s="171" t="s">
        <v>547</v>
      </c>
      <c r="B99" s="175" t="s">
        <v>548</v>
      </c>
      <c r="C99" s="149"/>
      <c r="D99" s="149"/>
    </row>
    <row r="100" spans="1:4">
      <c r="A100" s="171" t="s">
        <v>549</v>
      </c>
      <c r="B100" s="175" t="s">
        <v>550</v>
      </c>
      <c r="C100" s="149"/>
      <c r="D100" s="149"/>
    </row>
    <row r="101" spans="1:4">
      <c r="A101" s="171" t="s">
        <v>551</v>
      </c>
      <c r="B101" s="175" t="s">
        <v>552</v>
      </c>
      <c r="C101" s="149"/>
      <c r="D101" s="149"/>
    </row>
    <row r="102" spans="1:4">
      <c r="A102" s="171" t="s">
        <v>553</v>
      </c>
      <c r="B102" s="175" t="s">
        <v>554</v>
      </c>
      <c r="C102" s="149"/>
      <c r="D102" s="149"/>
    </row>
    <row r="103" spans="1:4">
      <c r="A103" s="171" t="s">
        <v>555</v>
      </c>
      <c r="B103" s="175" t="s">
        <v>556</v>
      </c>
      <c r="C103" s="149"/>
      <c r="D103" s="149"/>
    </row>
    <row r="104" spans="1:4">
      <c r="A104" s="171" t="s">
        <v>557</v>
      </c>
      <c r="B104" s="175" t="s">
        <v>558</v>
      </c>
      <c r="C104" s="149"/>
      <c r="D104" s="149"/>
    </row>
    <row r="105" spans="1:4">
      <c r="A105" s="171" t="s">
        <v>559</v>
      </c>
      <c r="B105" s="175" t="s">
        <v>560</v>
      </c>
      <c r="C105" s="149"/>
      <c r="D105" s="149"/>
    </row>
    <row r="106" spans="1:4">
      <c r="A106" s="171" t="s">
        <v>561</v>
      </c>
      <c r="B106" s="175" t="s">
        <v>562</v>
      </c>
      <c r="C106" s="149"/>
      <c r="D106" s="149"/>
    </row>
    <row r="107" spans="1:4">
      <c r="A107" s="171" t="s">
        <v>563</v>
      </c>
      <c r="B107" s="175" t="s">
        <v>564</v>
      </c>
      <c r="C107" s="149"/>
      <c r="D107" s="149"/>
    </row>
    <row r="108" spans="1:4">
      <c r="A108" s="171" t="s">
        <v>565</v>
      </c>
      <c r="B108" s="175" t="s">
        <v>566</v>
      </c>
      <c r="C108" s="149"/>
      <c r="D108" s="149"/>
    </row>
    <row r="109" spans="1:4" ht="18.75">
      <c r="A109" s="170">
        <v>3</v>
      </c>
      <c r="B109" s="177" t="s">
        <v>567</v>
      </c>
      <c r="C109" s="169"/>
      <c r="D109" s="169"/>
    </row>
    <row r="110" spans="1:4">
      <c r="A110" s="171" t="s">
        <v>568</v>
      </c>
      <c r="B110" s="175" t="s">
        <v>569</v>
      </c>
      <c r="C110" s="149"/>
      <c r="D110" s="149"/>
    </row>
    <row r="111" spans="1:4">
      <c r="A111" s="171" t="s">
        <v>570</v>
      </c>
      <c r="B111" s="175" t="s">
        <v>571</v>
      </c>
      <c r="C111" s="149"/>
      <c r="D111" s="149"/>
    </row>
    <row r="112" spans="1:4">
      <c r="A112" s="171" t="s">
        <v>572</v>
      </c>
      <c r="B112" s="175" t="s">
        <v>573</v>
      </c>
      <c r="C112" s="149"/>
      <c r="D112" s="149"/>
    </row>
    <row r="113" spans="1:4">
      <c r="A113" s="171" t="s">
        <v>574</v>
      </c>
      <c r="B113" s="175" t="s">
        <v>575</v>
      </c>
      <c r="C113" s="149"/>
      <c r="D113" s="149"/>
    </row>
    <row r="114" spans="1:4">
      <c r="A114" s="171" t="s">
        <v>576</v>
      </c>
      <c r="B114" s="175" t="s">
        <v>577</v>
      </c>
      <c r="C114" s="149"/>
      <c r="D114" s="149"/>
    </row>
    <row r="115" spans="1:4">
      <c r="A115" s="171" t="s">
        <v>578</v>
      </c>
      <c r="B115" s="175" t="s">
        <v>579</v>
      </c>
      <c r="C115" s="149"/>
      <c r="D115" s="149"/>
    </row>
    <row r="116" spans="1:4">
      <c r="A116" s="171" t="s">
        <v>580</v>
      </c>
      <c r="B116" s="175" t="s">
        <v>581</v>
      </c>
      <c r="C116" s="149"/>
      <c r="D116" s="149"/>
    </row>
    <row r="117" spans="1:4">
      <c r="A117" s="171" t="s">
        <v>582</v>
      </c>
      <c r="B117" s="175" t="s">
        <v>583</v>
      </c>
      <c r="C117" s="149"/>
      <c r="D117" s="149"/>
    </row>
    <row r="118" spans="1:4" ht="25.5">
      <c r="A118" s="171" t="s">
        <v>584</v>
      </c>
      <c r="B118" s="175" t="s">
        <v>585</v>
      </c>
      <c r="C118" s="149"/>
      <c r="D118" s="149"/>
    </row>
    <row r="119" spans="1:4">
      <c r="A119" s="176" t="s">
        <v>586</v>
      </c>
      <c r="B119" s="178" t="s">
        <v>587</v>
      </c>
      <c r="C119" s="149"/>
      <c r="D119" s="149"/>
    </row>
    <row r="120" spans="1:4">
      <c r="A120" s="171" t="s">
        <v>588</v>
      </c>
      <c r="B120" s="175" t="s">
        <v>589</v>
      </c>
      <c r="C120" s="149"/>
      <c r="D120" s="149"/>
    </row>
    <row r="121" spans="1:4">
      <c r="A121" s="171" t="s">
        <v>590</v>
      </c>
      <c r="B121" s="175" t="s">
        <v>591</v>
      </c>
      <c r="C121" s="149"/>
      <c r="D121" s="149"/>
    </row>
    <row r="122" spans="1:4">
      <c r="A122" s="171" t="s">
        <v>592</v>
      </c>
      <c r="B122" s="175" t="s">
        <v>593</v>
      </c>
      <c r="C122" s="149"/>
      <c r="D122" s="149"/>
    </row>
    <row r="123" spans="1:4">
      <c r="A123" s="171" t="s">
        <v>594</v>
      </c>
      <c r="B123" s="175" t="s">
        <v>595</v>
      </c>
      <c r="C123" s="149"/>
      <c r="D123" s="149"/>
    </row>
    <row r="124" spans="1:4">
      <c r="A124" s="171" t="s">
        <v>596</v>
      </c>
      <c r="B124" s="175" t="s">
        <v>597</v>
      </c>
      <c r="C124" s="149"/>
      <c r="D124" s="149"/>
    </row>
    <row r="125" spans="1:4">
      <c r="A125" s="171" t="s">
        <v>598</v>
      </c>
      <c r="B125" s="175" t="s">
        <v>599</v>
      </c>
      <c r="C125" s="149"/>
      <c r="D125" s="149"/>
    </row>
    <row r="126" spans="1:4">
      <c r="A126" s="171" t="s">
        <v>600</v>
      </c>
      <c r="B126" s="179" t="s">
        <v>601</v>
      </c>
      <c r="C126" s="149"/>
      <c r="D126" s="149"/>
    </row>
    <row r="127" spans="1:4">
      <c r="A127" s="171" t="s">
        <v>602</v>
      </c>
      <c r="B127" s="175" t="s">
        <v>603</v>
      </c>
      <c r="C127" s="149"/>
      <c r="D127" s="149"/>
    </row>
    <row r="128" spans="1:4">
      <c r="A128" s="171" t="s">
        <v>604</v>
      </c>
      <c r="B128" s="175" t="s">
        <v>605</v>
      </c>
      <c r="C128" s="149"/>
      <c r="D128" s="149"/>
    </row>
    <row r="129" spans="1:4">
      <c r="A129" s="171" t="s">
        <v>606</v>
      </c>
      <c r="B129" s="175" t="s">
        <v>607</v>
      </c>
      <c r="C129" s="149"/>
      <c r="D129" s="149"/>
    </row>
    <row r="130" spans="1:4">
      <c r="A130" s="171" t="s">
        <v>608</v>
      </c>
      <c r="B130" s="175" t="s">
        <v>609</v>
      </c>
      <c r="C130" s="149"/>
      <c r="D130" s="149"/>
    </row>
    <row r="131" spans="1:4">
      <c r="A131" s="171" t="s">
        <v>610</v>
      </c>
      <c r="B131" s="175" t="s">
        <v>611</v>
      </c>
      <c r="C131" s="149"/>
      <c r="D131" s="149"/>
    </row>
    <row r="132" spans="1:4">
      <c r="A132" s="171" t="s">
        <v>612</v>
      </c>
      <c r="B132" s="175" t="s">
        <v>613</v>
      </c>
      <c r="C132" s="149"/>
      <c r="D132" s="149"/>
    </row>
    <row r="133" spans="1:4">
      <c r="A133" s="171" t="s">
        <v>614</v>
      </c>
      <c r="B133" s="175" t="s">
        <v>615</v>
      </c>
      <c r="C133" s="149"/>
      <c r="D133" s="149"/>
    </row>
    <row r="134" spans="1:4">
      <c r="A134" s="171" t="s">
        <v>616</v>
      </c>
      <c r="B134" s="175" t="s">
        <v>617</v>
      </c>
      <c r="C134" s="149"/>
      <c r="D134" s="149"/>
    </row>
    <row r="135" spans="1:4">
      <c r="A135" s="171" t="s">
        <v>618</v>
      </c>
      <c r="B135" s="175" t="s">
        <v>619</v>
      </c>
      <c r="C135" s="149"/>
      <c r="D135" s="149"/>
    </row>
    <row r="136" spans="1:4">
      <c r="A136" s="171" t="s">
        <v>620</v>
      </c>
      <c r="B136" s="179" t="s">
        <v>621</v>
      </c>
      <c r="C136" s="149"/>
      <c r="D136" s="149"/>
    </row>
    <row r="137" spans="1:4">
      <c r="A137" s="171" t="s">
        <v>622</v>
      </c>
      <c r="B137" s="179" t="s">
        <v>623</v>
      </c>
      <c r="C137" s="149"/>
      <c r="D137" s="149"/>
    </row>
    <row r="138" spans="1:4" ht="18.75">
      <c r="A138" s="170">
        <v>4</v>
      </c>
      <c r="B138" s="177" t="s">
        <v>624</v>
      </c>
      <c r="C138" s="169"/>
      <c r="D138" s="169"/>
    </row>
    <row r="139" spans="1:4">
      <c r="A139" s="171" t="s">
        <v>625</v>
      </c>
      <c r="B139" s="175" t="s">
        <v>626</v>
      </c>
      <c r="C139" s="149"/>
      <c r="D139" s="149"/>
    </row>
    <row r="140" spans="1:4">
      <c r="A140" s="171" t="s">
        <v>627</v>
      </c>
      <c r="B140" s="175" t="s">
        <v>628</v>
      </c>
      <c r="C140" s="149"/>
      <c r="D140" s="149"/>
    </row>
    <row r="141" spans="1:4">
      <c r="A141" s="171" t="s">
        <v>629</v>
      </c>
      <c r="B141" s="175" t="s">
        <v>630</v>
      </c>
      <c r="C141" s="149"/>
      <c r="D141" s="149"/>
    </row>
    <row r="142" spans="1:4">
      <c r="A142" s="171" t="s">
        <v>631</v>
      </c>
      <c r="B142" s="175" t="s">
        <v>632</v>
      </c>
      <c r="C142" s="149"/>
      <c r="D142" s="149"/>
    </row>
    <row r="143" spans="1:4">
      <c r="A143" s="171" t="s">
        <v>633</v>
      </c>
      <c r="B143" s="175" t="s">
        <v>634</v>
      </c>
      <c r="C143" s="149"/>
      <c r="D143" s="149"/>
    </row>
    <row r="144" spans="1:4">
      <c r="A144" s="171" t="s">
        <v>635</v>
      </c>
      <c r="B144" s="175" t="s">
        <v>636</v>
      </c>
      <c r="C144" s="149"/>
      <c r="D144" s="149"/>
    </row>
    <row r="145" spans="1:4">
      <c r="A145" s="171" t="s">
        <v>637</v>
      </c>
      <c r="B145" s="175" t="s">
        <v>638</v>
      </c>
      <c r="C145" s="149"/>
      <c r="D145" s="149"/>
    </row>
    <row r="146" spans="1:4">
      <c r="A146" s="171" t="s">
        <v>639</v>
      </c>
      <c r="B146" s="175" t="s">
        <v>640</v>
      </c>
      <c r="C146" s="149"/>
      <c r="D146" s="149"/>
    </row>
    <row r="147" spans="1:4">
      <c r="A147" s="171" t="s">
        <v>641</v>
      </c>
      <c r="B147" s="175" t="s">
        <v>642</v>
      </c>
      <c r="C147" s="149"/>
      <c r="D147" s="149"/>
    </row>
    <row r="148" spans="1:4">
      <c r="A148" s="171" t="s">
        <v>643</v>
      </c>
      <c r="B148" s="175" t="s">
        <v>644</v>
      </c>
      <c r="C148" s="149"/>
      <c r="D148" s="149"/>
    </row>
    <row r="149" spans="1:4">
      <c r="A149" s="171" t="s">
        <v>645</v>
      </c>
      <c r="B149" s="175" t="s">
        <v>646</v>
      </c>
      <c r="C149" s="149"/>
      <c r="D149" s="149"/>
    </row>
    <row r="150" spans="1:4">
      <c r="A150" s="171" t="s">
        <v>647</v>
      </c>
      <c r="B150" s="175" t="s">
        <v>648</v>
      </c>
      <c r="C150" s="149"/>
      <c r="D150" s="149"/>
    </row>
    <row r="151" spans="1:4">
      <c r="A151" s="171" t="s">
        <v>649</v>
      </c>
      <c r="B151" s="175" t="s">
        <v>650</v>
      </c>
      <c r="C151" s="149"/>
      <c r="D151" s="149"/>
    </row>
    <row r="152" spans="1:4">
      <c r="A152" s="171" t="s">
        <v>651</v>
      </c>
      <c r="B152" s="175" t="s">
        <v>652</v>
      </c>
      <c r="C152" s="149"/>
      <c r="D152" s="149"/>
    </row>
    <row r="153" spans="1:4">
      <c r="A153" s="171" t="s">
        <v>653</v>
      </c>
      <c r="B153" s="175" t="s">
        <v>654</v>
      </c>
      <c r="C153" s="149"/>
      <c r="D153" s="149"/>
    </row>
    <row r="154" spans="1:4">
      <c r="A154" s="171" t="s">
        <v>655</v>
      </c>
      <c r="B154" s="175" t="s">
        <v>656</v>
      </c>
      <c r="C154" s="149"/>
      <c r="D154" s="149"/>
    </row>
    <row r="155" spans="1:4">
      <c r="A155" s="171" t="s">
        <v>657</v>
      </c>
      <c r="B155" s="175" t="s">
        <v>658</v>
      </c>
      <c r="C155" s="149"/>
      <c r="D155" s="149"/>
    </row>
    <row r="156" spans="1:4">
      <c r="A156" s="171" t="s">
        <v>659</v>
      </c>
      <c r="B156" s="175" t="s">
        <v>660</v>
      </c>
      <c r="C156" s="149"/>
      <c r="D156" s="149"/>
    </row>
    <row r="157" spans="1:4">
      <c r="A157" s="171" t="s">
        <v>661</v>
      </c>
      <c r="B157" s="175" t="s">
        <v>662</v>
      </c>
      <c r="C157" s="149"/>
      <c r="D157" s="149"/>
    </row>
    <row r="158" spans="1:4">
      <c r="A158" s="171" t="s">
        <v>663</v>
      </c>
      <c r="B158" s="175" t="s">
        <v>664</v>
      </c>
      <c r="C158" s="149"/>
      <c r="D158" s="149"/>
    </row>
    <row r="159" spans="1:4">
      <c r="A159" s="171" t="s">
        <v>665</v>
      </c>
      <c r="B159" s="175" t="s">
        <v>666</v>
      </c>
      <c r="C159" s="149"/>
      <c r="D159" s="149"/>
    </row>
    <row r="160" spans="1:4">
      <c r="A160" s="171" t="s">
        <v>667</v>
      </c>
      <c r="B160" s="175" t="s">
        <v>668</v>
      </c>
      <c r="C160" s="149"/>
      <c r="D160" s="149"/>
    </row>
    <row r="161" spans="1:4">
      <c r="A161" s="171" t="s">
        <v>669</v>
      </c>
      <c r="B161" s="175" t="s">
        <v>670</v>
      </c>
      <c r="C161" s="149"/>
      <c r="D161" s="149"/>
    </row>
    <row r="162" spans="1:4">
      <c r="A162" s="171" t="s">
        <v>671</v>
      </c>
      <c r="B162" s="175" t="s">
        <v>672</v>
      </c>
      <c r="C162" s="149"/>
      <c r="D162" s="149"/>
    </row>
    <row r="163" spans="1:4">
      <c r="A163" s="171" t="s">
        <v>673</v>
      </c>
      <c r="B163" s="175" t="s">
        <v>674</v>
      </c>
      <c r="C163" s="149"/>
      <c r="D163" s="149"/>
    </row>
    <row r="164" spans="1:4">
      <c r="A164" s="171" t="s">
        <v>675</v>
      </c>
      <c r="B164" s="175" t="s">
        <v>676</v>
      </c>
      <c r="C164" s="149"/>
      <c r="D164" s="149"/>
    </row>
    <row r="165" spans="1:4">
      <c r="A165" s="171" t="s">
        <v>677</v>
      </c>
      <c r="B165" s="175" t="s">
        <v>678</v>
      </c>
      <c r="C165" s="149"/>
      <c r="D165" s="149"/>
    </row>
    <row r="166" spans="1:4">
      <c r="A166" s="171" t="s">
        <v>679</v>
      </c>
      <c r="B166" s="175" t="s">
        <v>680</v>
      </c>
      <c r="C166" s="149"/>
      <c r="D166" s="149"/>
    </row>
    <row r="167" spans="1:4">
      <c r="A167" s="171" t="s">
        <v>681</v>
      </c>
      <c r="B167" s="175" t="s">
        <v>682</v>
      </c>
      <c r="C167" s="149"/>
      <c r="D167" s="149"/>
    </row>
    <row r="168" spans="1:4">
      <c r="A168" s="171" t="s">
        <v>683</v>
      </c>
      <c r="B168" s="175" t="s">
        <v>684</v>
      </c>
      <c r="C168" s="149"/>
      <c r="D168" s="149"/>
    </row>
    <row r="169" spans="1:4">
      <c r="A169" s="171" t="s">
        <v>685</v>
      </c>
      <c r="B169" s="175" t="s">
        <v>686</v>
      </c>
      <c r="C169" s="149"/>
      <c r="D169" s="149"/>
    </row>
    <row r="170" spans="1:4">
      <c r="A170" s="171" t="s">
        <v>687</v>
      </c>
      <c r="B170" s="175" t="s">
        <v>688</v>
      </c>
      <c r="C170" s="149"/>
      <c r="D170" s="149"/>
    </row>
    <row r="171" spans="1:4">
      <c r="A171" s="171" t="s">
        <v>689</v>
      </c>
      <c r="B171" s="175" t="s">
        <v>690</v>
      </c>
      <c r="C171" s="149"/>
      <c r="D171" s="149"/>
    </row>
    <row r="172" spans="1:4">
      <c r="A172" s="171" t="s">
        <v>691</v>
      </c>
      <c r="B172" s="175" t="s">
        <v>692</v>
      </c>
      <c r="C172" s="149"/>
      <c r="D172" s="149"/>
    </row>
    <row r="173" spans="1:4">
      <c r="A173" s="171" t="s">
        <v>693</v>
      </c>
      <c r="B173" s="175" t="s">
        <v>694</v>
      </c>
      <c r="C173" s="149"/>
      <c r="D173" s="149"/>
    </row>
    <row r="174" spans="1:4">
      <c r="A174" s="171" t="s">
        <v>695</v>
      </c>
      <c r="B174" s="178" t="s">
        <v>696</v>
      </c>
      <c r="C174" s="149"/>
      <c r="D174" s="149"/>
    </row>
    <row r="175" spans="1:4">
      <c r="A175" s="171" t="s">
        <v>697</v>
      </c>
      <c r="B175" s="175" t="s">
        <v>698</v>
      </c>
      <c r="C175" s="149"/>
      <c r="D175" s="149"/>
    </row>
    <row r="176" spans="1:4">
      <c r="A176" s="171" t="s">
        <v>699</v>
      </c>
      <c r="B176" s="175" t="s">
        <v>700</v>
      </c>
      <c r="C176" s="149"/>
      <c r="D176" s="149"/>
    </row>
    <row r="177" spans="1:4">
      <c r="A177" s="171" t="s">
        <v>701</v>
      </c>
      <c r="B177" s="175" t="s">
        <v>702</v>
      </c>
      <c r="C177" s="149"/>
      <c r="D177" s="149"/>
    </row>
    <row r="178" spans="1:4">
      <c r="A178" s="171" t="s">
        <v>703</v>
      </c>
      <c r="B178" s="175" t="s">
        <v>704</v>
      </c>
      <c r="C178" s="149"/>
      <c r="D178" s="149"/>
    </row>
    <row r="179" spans="1:4">
      <c r="A179" s="171" t="s">
        <v>705</v>
      </c>
      <c r="B179" s="175" t="s">
        <v>706</v>
      </c>
      <c r="C179" s="149"/>
      <c r="D179" s="149"/>
    </row>
    <row r="180" spans="1:4">
      <c r="A180" s="171" t="s">
        <v>707</v>
      </c>
      <c r="B180" s="175" t="s">
        <v>708</v>
      </c>
      <c r="C180" s="149"/>
      <c r="D180" s="149"/>
    </row>
    <row r="181" spans="1:4">
      <c r="A181" s="171" t="s">
        <v>709</v>
      </c>
      <c r="B181" s="175" t="s">
        <v>710</v>
      </c>
      <c r="C181" s="149"/>
      <c r="D181" s="149"/>
    </row>
    <row r="182" spans="1:4">
      <c r="A182" s="171" t="s">
        <v>711</v>
      </c>
      <c r="B182" s="175" t="s">
        <v>712</v>
      </c>
      <c r="C182" s="149"/>
      <c r="D182" s="149"/>
    </row>
    <row r="183" spans="1:4">
      <c r="A183" s="171" t="s">
        <v>713</v>
      </c>
      <c r="B183" s="175" t="s">
        <v>714</v>
      </c>
      <c r="C183" s="149"/>
      <c r="D183" s="149"/>
    </row>
    <row r="184" spans="1:4">
      <c r="A184" s="171" t="s">
        <v>715</v>
      </c>
      <c r="B184" s="175" t="s">
        <v>716</v>
      </c>
      <c r="C184" s="149"/>
      <c r="D184" s="149"/>
    </row>
    <row r="185" spans="1:4">
      <c r="A185" s="171" t="s">
        <v>717</v>
      </c>
      <c r="B185" s="175" t="s">
        <v>718</v>
      </c>
      <c r="C185" s="149"/>
      <c r="D185" s="149"/>
    </row>
    <row r="186" spans="1:4" ht="18.75">
      <c r="A186" s="170">
        <v>5</v>
      </c>
      <c r="B186" s="177" t="s">
        <v>719</v>
      </c>
      <c r="C186" s="169"/>
      <c r="D186" s="169"/>
    </row>
    <row r="187" spans="1:4" ht="25.5">
      <c r="A187" s="171" t="s">
        <v>720</v>
      </c>
      <c r="B187" s="175" t="s">
        <v>721</v>
      </c>
      <c r="C187" s="149"/>
      <c r="D187" s="149"/>
    </row>
    <row r="188" spans="1:4" ht="25.5">
      <c r="A188" s="171" t="s">
        <v>722</v>
      </c>
      <c r="B188" s="175" t="s">
        <v>723</v>
      </c>
      <c r="C188" s="149"/>
      <c r="D188" s="149"/>
    </row>
    <row r="189" spans="1:4">
      <c r="A189" s="171" t="s">
        <v>724</v>
      </c>
      <c r="B189" s="175" t="s">
        <v>725</v>
      </c>
      <c r="C189" s="149"/>
      <c r="D189" s="149"/>
    </row>
    <row r="190" spans="1:4" ht="25.5">
      <c r="A190" s="176" t="s">
        <v>726</v>
      </c>
      <c r="B190" s="178" t="s">
        <v>727</v>
      </c>
      <c r="C190" s="149"/>
      <c r="D190" s="149"/>
    </row>
    <row r="191" spans="1:4" ht="25.5">
      <c r="A191" s="176" t="s">
        <v>728</v>
      </c>
      <c r="B191" s="178" t="s">
        <v>729</v>
      </c>
      <c r="C191" s="149"/>
      <c r="D191" s="149"/>
    </row>
    <row r="192" spans="1:4" ht="25.5">
      <c r="A192" s="176" t="s">
        <v>730</v>
      </c>
      <c r="B192" s="178" t="s">
        <v>727</v>
      </c>
      <c r="C192" s="149"/>
      <c r="D192" s="149"/>
    </row>
    <row r="193" spans="1:4" ht="25.5">
      <c r="A193" s="176" t="s">
        <v>731</v>
      </c>
      <c r="B193" s="178" t="s">
        <v>732</v>
      </c>
      <c r="C193" s="149"/>
      <c r="D193" s="149"/>
    </row>
    <row r="194" spans="1:4">
      <c r="A194" s="171" t="s">
        <v>733</v>
      </c>
      <c r="B194" s="175" t="s">
        <v>734</v>
      </c>
      <c r="C194" s="149"/>
      <c r="D194" s="149"/>
    </row>
    <row r="195" spans="1:4">
      <c r="A195" s="171" t="s">
        <v>735</v>
      </c>
      <c r="B195" s="175" t="s">
        <v>736</v>
      </c>
      <c r="C195" s="149"/>
      <c r="D195" s="149"/>
    </row>
    <row r="196" spans="1:4">
      <c r="A196" s="171" t="s">
        <v>737</v>
      </c>
      <c r="B196" s="175" t="s">
        <v>738</v>
      </c>
      <c r="C196" s="149"/>
      <c r="D196" s="149"/>
    </row>
    <row r="197" spans="1:4">
      <c r="A197" s="171" t="s">
        <v>739</v>
      </c>
      <c r="B197" s="175" t="s">
        <v>740</v>
      </c>
      <c r="C197" s="149"/>
      <c r="D197" s="149"/>
    </row>
    <row r="198" spans="1:4" ht="25.5">
      <c r="A198" s="171" t="s">
        <v>741</v>
      </c>
      <c r="B198" s="175" t="s">
        <v>742</v>
      </c>
      <c r="C198" s="149"/>
      <c r="D198" s="149"/>
    </row>
    <row r="199" spans="1:4" ht="25.5">
      <c r="A199" s="171" t="s">
        <v>743</v>
      </c>
      <c r="B199" s="175" t="s">
        <v>744</v>
      </c>
      <c r="C199" s="149"/>
      <c r="D199" s="149"/>
    </row>
    <row r="200" spans="1:4" ht="25.5">
      <c r="A200" s="171" t="s">
        <v>745</v>
      </c>
      <c r="B200" s="175" t="s">
        <v>746</v>
      </c>
      <c r="C200" s="149"/>
      <c r="D200" s="149"/>
    </row>
    <row r="201" spans="1:4" ht="25.5">
      <c r="A201" s="171" t="s">
        <v>747</v>
      </c>
      <c r="B201" s="175" t="s">
        <v>748</v>
      </c>
      <c r="C201" s="149"/>
      <c r="D201" s="149"/>
    </row>
    <row r="202" spans="1:4" ht="25.5">
      <c r="A202" s="171" t="s">
        <v>749</v>
      </c>
      <c r="B202" s="175" t="s">
        <v>750</v>
      </c>
      <c r="C202" s="149"/>
      <c r="D202" s="149"/>
    </row>
    <row r="203" spans="1:4" ht="25.5">
      <c r="A203" s="171" t="s">
        <v>751</v>
      </c>
      <c r="B203" s="175" t="s">
        <v>752</v>
      </c>
      <c r="C203" s="149"/>
      <c r="D203" s="149"/>
    </row>
    <row r="204" spans="1:4" ht="25.5">
      <c r="A204" s="171" t="s">
        <v>753</v>
      </c>
      <c r="B204" s="175" t="s">
        <v>754</v>
      </c>
      <c r="C204" s="149"/>
      <c r="D204" s="149"/>
    </row>
    <row r="205" spans="1:4">
      <c r="A205" s="171" t="s">
        <v>755</v>
      </c>
      <c r="B205" s="175" t="s">
        <v>756</v>
      </c>
      <c r="C205" s="149"/>
      <c r="D205" s="149"/>
    </row>
    <row r="206" spans="1:4" ht="25.5">
      <c r="A206" s="171" t="s">
        <v>757</v>
      </c>
      <c r="B206" s="175" t="s">
        <v>758</v>
      </c>
      <c r="C206" s="149"/>
      <c r="D206" s="149"/>
    </row>
    <row r="207" spans="1:4">
      <c r="A207" s="171" t="s">
        <v>759</v>
      </c>
      <c r="B207" s="175" t="s">
        <v>760</v>
      </c>
      <c r="C207" s="149"/>
      <c r="D207" s="149"/>
    </row>
    <row r="208" spans="1:4" ht="25.5">
      <c r="A208" s="171" t="s">
        <v>761</v>
      </c>
      <c r="B208" s="175" t="s">
        <v>762</v>
      </c>
      <c r="C208" s="149"/>
      <c r="D208" s="149"/>
    </row>
    <row r="209" spans="1:4" ht="25.5">
      <c r="A209" s="171" t="s">
        <v>763</v>
      </c>
      <c r="B209" s="175" t="s">
        <v>764</v>
      </c>
      <c r="C209" s="149"/>
      <c r="D209" s="149"/>
    </row>
    <row r="210" spans="1:4">
      <c r="A210" s="171" t="s">
        <v>765</v>
      </c>
      <c r="B210" s="175" t="s">
        <v>766</v>
      </c>
      <c r="C210" s="149"/>
      <c r="D210" s="149"/>
    </row>
    <row r="211" spans="1:4">
      <c r="A211" s="171" t="s">
        <v>767</v>
      </c>
      <c r="B211" s="175" t="s">
        <v>768</v>
      </c>
      <c r="C211" s="149"/>
      <c r="D211" s="149"/>
    </row>
    <row r="212" spans="1:4" ht="25.5">
      <c r="A212" s="176" t="s">
        <v>769</v>
      </c>
      <c r="B212" s="178" t="s">
        <v>770</v>
      </c>
      <c r="C212" s="149"/>
      <c r="D212" s="149"/>
    </row>
    <row r="213" spans="1:4" ht="25.5">
      <c r="A213" s="176" t="s">
        <v>771</v>
      </c>
      <c r="B213" s="178" t="s">
        <v>772</v>
      </c>
      <c r="C213" s="149"/>
      <c r="D213" s="149"/>
    </row>
    <row r="214" spans="1:4" ht="25.5">
      <c r="A214" s="171" t="s">
        <v>773</v>
      </c>
      <c r="B214" s="175" t="s">
        <v>774</v>
      </c>
      <c r="C214" s="149"/>
      <c r="D214" s="149"/>
    </row>
    <row r="215" spans="1:4" ht="25.5">
      <c r="A215" s="171" t="s">
        <v>775</v>
      </c>
      <c r="B215" s="175" t="s">
        <v>776</v>
      </c>
      <c r="C215" s="149"/>
      <c r="D215" s="149"/>
    </row>
    <row r="216" spans="1:4" ht="25.5">
      <c r="A216" s="171" t="s">
        <v>777</v>
      </c>
      <c r="B216" s="175" t="s">
        <v>778</v>
      </c>
      <c r="C216" s="149"/>
      <c r="D216" s="149"/>
    </row>
    <row r="217" spans="1:4" ht="25.5">
      <c r="A217" s="171" t="s">
        <v>779</v>
      </c>
      <c r="B217" s="175" t="s">
        <v>780</v>
      </c>
      <c r="C217" s="149"/>
      <c r="D217" s="149"/>
    </row>
    <row r="218" spans="1:4" ht="25.5">
      <c r="A218" s="171" t="s">
        <v>781</v>
      </c>
      <c r="B218" s="175" t="s">
        <v>782</v>
      </c>
      <c r="C218" s="149"/>
      <c r="D218" s="149"/>
    </row>
    <row r="219" spans="1:4" ht="25.5">
      <c r="A219" s="176" t="s">
        <v>783</v>
      </c>
      <c r="B219" s="178" t="s">
        <v>784</v>
      </c>
      <c r="C219" s="149"/>
      <c r="D219" s="149"/>
    </row>
    <row r="220" spans="1:4" ht="25.5">
      <c r="A220" s="176" t="s">
        <v>785</v>
      </c>
      <c r="B220" s="178" t="s">
        <v>786</v>
      </c>
      <c r="C220" s="149"/>
      <c r="D220" s="149"/>
    </row>
    <row r="221" spans="1:4">
      <c r="A221" s="171" t="s">
        <v>787</v>
      </c>
      <c r="B221" s="179" t="s">
        <v>788</v>
      </c>
      <c r="C221" s="149"/>
      <c r="D221" s="149"/>
    </row>
    <row r="222" spans="1:4">
      <c r="A222" s="171" t="s">
        <v>789</v>
      </c>
      <c r="B222" s="179" t="s">
        <v>788</v>
      </c>
      <c r="C222" s="149"/>
      <c r="D222" s="149"/>
    </row>
    <row r="223" spans="1:4">
      <c r="A223" s="171" t="s">
        <v>790</v>
      </c>
      <c r="B223" s="179" t="s">
        <v>791</v>
      </c>
      <c r="C223" s="149"/>
      <c r="D223" s="149"/>
    </row>
    <row r="224" spans="1:4">
      <c r="A224" s="171" t="s">
        <v>792</v>
      </c>
      <c r="B224" s="179" t="s">
        <v>793</v>
      </c>
      <c r="C224" s="149"/>
      <c r="D224" s="149"/>
    </row>
    <row r="225" spans="1:4">
      <c r="A225" s="171" t="s">
        <v>794</v>
      </c>
      <c r="B225" s="175" t="s">
        <v>795</v>
      </c>
      <c r="C225" s="149"/>
      <c r="D225" s="149"/>
    </row>
    <row r="226" spans="1:4">
      <c r="A226" s="171" t="s">
        <v>796</v>
      </c>
      <c r="B226" s="175" t="s">
        <v>797</v>
      </c>
      <c r="C226" s="149"/>
      <c r="D226" s="149"/>
    </row>
    <row r="227" spans="1:4">
      <c r="A227" s="171" t="s">
        <v>798</v>
      </c>
      <c r="B227" s="175" t="s">
        <v>799</v>
      </c>
      <c r="C227" s="149"/>
      <c r="D227" s="149"/>
    </row>
    <row r="228" spans="1:4">
      <c r="A228" s="171" t="s">
        <v>800</v>
      </c>
      <c r="B228" s="175" t="s">
        <v>801</v>
      </c>
      <c r="C228" s="149"/>
      <c r="D228" s="149"/>
    </row>
    <row r="229" spans="1:4">
      <c r="A229" s="171" t="s">
        <v>802</v>
      </c>
      <c r="B229" s="175" t="s">
        <v>803</v>
      </c>
      <c r="C229" s="149"/>
      <c r="D229" s="149"/>
    </row>
    <row r="230" spans="1:4">
      <c r="A230" s="171" t="s">
        <v>804</v>
      </c>
      <c r="B230" s="175" t="s">
        <v>805</v>
      </c>
      <c r="C230" s="149"/>
      <c r="D230" s="149"/>
    </row>
    <row r="231" spans="1:4" ht="25.5">
      <c r="A231" s="171" t="s">
        <v>806</v>
      </c>
      <c r="B231" s="175" t="s">
        <v>807</v>
      </c>
      <c r="C231" s="149"/>
      <c r="D231" s="149"/>
    </row>
    <row r="232" spans="1:4" ht="25.5">
      <c r="A232" s="171" t="s">
        <v>808</v>
      </c>
      <c r="B232" s="175" t="s">
        <v>809</v>
      </c>
      <c r="C232" s="149"/>
      <c r="D232" s="149"/>
    </row>
    <row r="233" spans="1:4" ht="25.5">
      <c r="A233" s="171" t="s">
        <v>810</v>
      </c>
      <c r="B233" s="175" t="s">
        <v>811</v>
      </c>
      <c r="C233" s="149"/>
      <c r="D233" s="149"/>
    </row>
    <row r="234" spans="1:4" ht="25.5">
      <c r="A234" s="171" t="s">
        <v>812</v>
      </c>
      <c r="B234" s="175" t="s">
        <v>813</v>
      </c>
      <c r="C234" s="149"/>
      <c r="D234" s="149"/>
    </row>
    <row r="235" spans="1:4">
      <c r="A235" s="171" t="s">
        <v>814</v>
      </c>
      <c r="B235" s="175" t="s">
        <v>815</v>
      </c>
      <c r="C235" s="149"/>
      <c r="D235" s="149"/>
    </row>
    <row r="236" spans="1:4">
      <c r="A236" s="171" t="s">
        <v>816</v>
      </c>
      <c r="B236" s="175" t="s">
        <v>817</v>
      </c>
      <c r="C236" s="149"/>
      <c r="D236" s="149"/>
    </row>
    <row r="237" spans="1:4" ht="25.5">
      <c r="A237" s="171" t="s">
        <v>818</v>
      </c>
      <c r="B237" s="175" t="s">
        <v>819</v>
      </c>
      <c r="C237" s="149"/>
      <c r="D237" s="149"/>
    </row>
    <row r="238" spans="1:4" ht="25.5">
      <c r="A238" s="171" t="s">
        <v>820</v>
      </c>
      <c r="B238" s="175" t="s">
        <v>821</v>
      </c>
      <c r="C238" s="149"/>
      <c r="D238" s="149"/>
    </row>
    <row r="239" spans="1:4">
      <c r="A239" s="171" t="s">
        <v>822</v>
      </c>
      <c r="B239" s="175" t="s">
        <v>823</v>
      </c>
      <c r="C239" s="149"/>
      <c r="D239" s="149"/>
    </row>
    <row r="240" spans="1:4">
      <c r="A240" s="171" t="s">
        <v>824</v>
      </c>
      <c r="B240" s="175" t="s">
        <v>825</v>
      </c>
      <c r="C240" s="149"/>
      <c r="D240" s="149"/>
    </row>
    <row r="241" spans="1:4">
      <c r="A241" s="171" t="s">
        <v>826</v>
      </c>
      <c r="B241" s="175" t="s">
        <v>827</v>
      </c>
      <c r="C241" s="149"/>
      <c r="D241" s="149"/>
    </row>
    <row r="242" spans="1:4">
      <c r="A242" s="171" t="s">
        <v>828</v>
      </c>
      <c r="B242" s="175" t="s">
        <v>829</v>
      </c>
      <c r="C242" s="149"/>
      <c r="D242" s="149"/>
    </row>
    <row r="243" spans="1:4">
      <c r="A243" s="171" t="s">
        <v>830</v>
      </c>
      <c r="B243" s="175" t="s">
        <v>831</v>
      </c>
      <c r="C243" s="149"/>
      <c r="D243" s="149"/>
    </row>
    <row r="244" spans="1:4">
      <c r="A244" s="171" t="s">
        <v>832</v>
      </c>
      <c r="B244" s="175" t="s">
        <v>833</v>
      </c>
      <c r="C244" s="149"/>
      <c r="D244" s="149"/>
    </row>
    <row r="245" spans="1:4">
      <c r="A245" s="171" t="s">
        <v>834</v>
      </c>
      <c r="B245" s="175" t="s">
        <v>835</v>
      </c>
      <c r="C245" s="149"/>
      <c r="D245" s="149"/>
    </row>
    <row r="246" spans="1:4">
      <c r="A246" s="171" t="s">
        <v>836</v>
      </c>
      <c r="B246" s="175" t="s">
        <v>837</v>
      </c>
      <c r="C246" s="149"/>
      <c r="D246" s="149"/>
    </row>
    <row r="247" spans="1:4">
      <c r="A247" s="171" t="s">
        <v>838</v>
      </c>
      <c r="B247" s="175" t="s">
        <v>839</v>
      </c>
      <c r="C247" s="149"/>
      <c r="D247" s="149"/>
    </row>
    <row r="248" spans="1:4">
      <c r="A248" s="171" t="s">
        <v>840</v>
      </c>
      <c r="B248" s="175" t="s">
        <v>841</v>
      </c>
      <c r="C248" s="149"/>
      <c r="D248" s="149"/>
    </row>
    <row r="249" spans="1:4">
      <c r="A249" s="171" t="s">
        <v>842</v>
      </c>
      <c r="B249" s="175" t="s">
        <v>843</v>
      </c>
      <c r="C249" s="149"/>
      <c r="D249" s="149"/>
    </row>
    <row r="250" spans="1:4">
      <c r="A250" s="171" t="s">
        <v>844</v>
      </c>
      <c r="B250" s="175" t="s">
        <v>845</v>
      </c>
      <c r="C250" s="149"/>
      <c r="D250" s="149"/>
    </row>
    <row r="251" spans="1:4">
      <c r="A251" s="171" t="s">
        <v>846</v>
      </c>
      <c r="B251" s="175" t="s">
        <v>847</v>
      </c>
      <c r="C251" s="149"/>
      <c r="D251" s="149"/>
    </row>
    <row r="252" spans="1:4">
      <c r="A252" s="171" t="s">
        <v>848</v>
      </c>
      <c r="B252" s="175" t="s">
        <v>849</v>
      </c>
      <c r="C252" s="149"/>
      <c r="D252" s="149"/>
    </row>
    <row r="253" spans="1:4">
      <c r="A253" s="171" t="s">
        <v>850</v>
      </c>
      <c r="B253" s="175" t="s">
        <v>851</v>
      </c>
      <c r="C253" s="149"/>
      <c r="D253" s="149"/>
    </row>
    <row r="254" spans="1:4">
      <c r="A254" s="171" t="s">
        <v>852</v>
      </c>
      <c r="B254" s="175" t="s">
        <v>853</v>
      </c>
      <c r="C254" s="149"/>
      <c r="D254" s="149"/>
    </row>
    <row r="255" spans="1:4">
      <c r="A255" s="171" t="s">
        <v>854</v>
      </c>
      <c r="B255" s="175" t="s">
        <v>855</v>
      </c>
      <c r="C255" s="149"/>
      <c r="D255" s="149"/>
    </row>
    <row r="256" spans="1:4">
      <c r="A256" s="171" t="s">
        <v>856</v>
      </c>
      <c r="B256" s="175" t="s">
        <v>857</v>
      </c>
      <c r="C256" s="149"/>
      <c r="D256" s="149"/>
    </row>
    <row r="257" spans="1:4">
      <c r="A257" s="171" t="s">
        <v>858</v>
      </c>
      <c r="B257" s="179" t="s">
        <v>859</v>
      </c>
      <c r="C257" s="149"/>
      <c r="D257" s="149"/>
    </row>
    <row r="258" spans="1:4">
      <c r="A258" s="171" t="s">
        <v>860</v>
      </c>
      <c r="B258" s="179" t="s">
        <v>861</v>
      </c>
      <c r="C258" s="149"/>
      <c r="D258" s="149"/>
    </row>
    <row r="259" spans="1:4">
      <c r="A259" s="171" t="s">
        <v>862</v>
      </c>
      <c r="B259" s="179" t="s">
        <v>863</v>
      </c>
      <c r="C259" s="149"/>
      <c r="D259" s="149"/>
    </row>
    <row r="260" spans="1:4">
      <c r="A260" s="171" t="s">
        <v>864</v>
      </c>
      <c r="B260" s="179" t="s">
        <v>865</v>
      </c>
      <c r="C260" s="149"/>
      <c r="D260" s="149"/>
    </row>
    <row r="261" spans="1:4">
      <c r="A261" s="171" t="s">
        <v>866</v>
      </c>
      <c r="B261" s="175" t="s">
        <v>867</v>
      </c>
      <c r="C261" s="149"/>
      <c r="D261" s="149"/>
    </row>
    <row r="262" spans="1:4">
      <c r="A262" s="171" t="s">
        <v>868</v>
      </c>
      <c r="B262" s="175" t="s">
        <v>869</v>
      </c>
      <c r="C262" s="149"/>
      <c r="D262" s="149"/>
    </row>
    <row r="263" spans="1:4">
      <c r="A263" s="171" t="s">
        <v>870</v>
      </c>
      <c r="B263" s="179" t="s">
        <v>871</v>
      </c>
      <c r="C263" s="149"/>
      <c r="D263" s="149"/>
    </row>
    <row r="264" spans="1:4">
      <c r="A264" s="171" t="s">
        <v>872</v>
      </c>
      <c r="B264" s="179" t="s">
        <v>873</v>
      </c>
      <c r="C264" s="149"/>
      <c r="D264" s="149"/>
    </row>
    <row r="265" spans="1:4">
      <c r="A265" s="171" t="s">
        <v>874</v>
      </c>
      <c r="B265" s="179" t="s">
        <v>875</v>
      </c>
      <c r="C265" s="149"/>
      <c r="D265" s="149"/>
    </row>
    <row r="266" spans="1:4">
      <c r="A266" s="171" t="s">
        <v>876</v>
      </c>
      <c r="B266" s="179" t="s">
        <v>877</v>
      </c>
      <c r="C266" s="149"/>
      <c r="D266" s="149"/>
    </row>
    <row r="267" spans="1:4" ht="18.75">
      <c r="A267" s="170">
        <v>6</v>
      </c>
      <c r="B267" s="177" t="s">
        <v>878</v>
      </c>
      <c r="C267" s="169"/>
      <c r="D267" s="169"/>
    </row>
    <row r="268" spans="1:4">
      <c r="A268" s="171" t="s">
        <v>879</v>
      </c>
      <c r="B268" s="179" t="s">
        <v>880</v>
      </c>
      <c r="C268" s="149"/>
      <c r="D268" s="149"/>
    </row>
    <row r="269" spans="1:4">
      <c r="A269" s="171" t="s">
        <v>881</v>
      </c>
      <c r="B269" s="179" t="s">
        <v>882</v>
      </c>
      <c r="C269" s="149"/>
      <c r="D269" s="149"/>
    </row>
    <row r="270" spans="1:4">
      <c r="A270" s="171" t="s">
        <v>883</v>
      </c>
      <c r="B270" s="175" t="s">
        <v>884</v>
      </c>
      <c r="C270" s="149"/>
      <c r="D270" s="149"/>
    </row>
    <row r="271" spans="1:4">
      <c r="A271" s="171" t="s">
        <v>885</v>
      </c>
      <c r="B271" s="175" t="s">
        <v>886</v>
      </c>
      <c r="C271" s="149"/>
      <c r="D271" s="149"/>
    </row>
    <row r="272" spans="1:4">
      <c r="A272" s="171" t="s">
        <v>887</v>
      </c>
      <c r="B272" s="175" t="s">
        <v>888</v>
      </c>
      <c r="C272" s="149"/>
      <c r="D272" s="149"/>
    </row>
    <row r="273" spans="1:4" ht="25.5">
      <c r="A273" s="171" t="s">
        <v>889</v>
      </c>
      <c r="B273" s="175" t="s">
        <v>890</v>
      </c>
      <c r="C273" s="149"/>
      <c r="D273" s="149"/>
    </row>
    <row r="274" spans="1:4" ht="25.5">
      <c r="A274" s="171" t="s">
        <v>891</v>
      </c>
      <c r="B274" s="175" t="s">
        <v>892</v>
      </c>
      <c r="C274" s="149"/>
      <c r="D274" s="149"/>
    </row>
    <row r="275" spans="1:4">
      <c r="A275" s="171" t="s">
        <v>893</v>
      </c>
      <c r="B275" s="175" t="s">
        <v>894</v>
      </c>
      <c r="C275" s="149"/>
      <c r="D275" s="149"/>
    </row>
    <row r="276" spans="1:4">
      <c r="A276" s="171" t="s">
        <v>895</v>
      </c>
      <c r="B276" s="179" t="s">
        <v>896</v>
      </c>
      <c r="C276" s="149"/>
      <c r="D276" s="149"/>
    </row>
    <row r="277" spans="1:4">
      <c r="A277" s="171" t="s">
        <v>897</v>
      </c>
      <c r="B277" s="179" t="s">
        <v>898</v>
      </c>
      <c r="C277" s="149"/>
      <c r="D277" s="149"/>
    </row>
    <row r="278" spans="1:4">
      <c r="A278" s="171" t="s">
        <v>899</v>
      </c>
      <c r="B278" s="179" t="s">
        <v>900</v>
      </c>
      <c r="C278" s="149"/>
      <c r="D278" s="149"/>
    </row>
    <row r="279" spans="1:4">
      <c r="A279" s="171" t="s">
        <v>901</v>
      </c>
      <c r="B279" s="179" t="s">
        <v>902</v>
      </c>
      <c r="C279" s="149"/>
      <c r="D279" s="149"/>
    </row>
    <row r="280" spans="1:4">
      <c r="A280" s="171" t="s">
        <v>903</v>
      </c>
      <c r="B280" s="179" t="s">
        <v>904</v>
      </c>
      <c r="C280" s="149"/>
      <c r="D280" s="149"/>
    </row>
    <row r="281" spans="1:4">
      <c r="A281" s="171" t="s">
        <v>905</v>
      </c>
      <c r="B281" s="179" t="s">
        <v>906</v>
      </c>
      <c r="C281" s="149"/>
      <c r="D281" s="149"/>
    </row>
    <row r="282" spans="1:4">
      <c r="A282" s="171" t="s">
        <v>907</v>
      </c>
      <c r="B282" s="179" t="s">
        <v>908</v>
      </c>
      <c r="C282" s="149"/>
      <c r="D282" s="149"/>
    </row>
    <row r="283" spans="1:4">
      <c r="A283" s="171" t="s">
        <v>909</v>
      </c>
      <c r="B283" s="175" t="s">
        <v>910</v>
      </c>
      <c r="C283" s="149"/>
      <c r="D283" s="149"/>
    </row>
    <row r="284" spans="1:4">
      <c r="A284" s="176" t="s">
        <v>911</v>
      </c>
      <c r="B284" s="178" t="s">
        <v>912</v>
      </c>
      <c r="C284" s="149"/>
      <c r="D284" s="149"/>
    </row>
    <row r="285" spans="1:4">
      <c r="A285" s="176" t="s">
        <v>913</v>
      </c>
      <c r="B285" s="178" t="s">
        <v>914</v>
      </c>
      <c r="C285" s="149"/>
      <c r="D285" s="149"/>
    </row>
    <row r="286" spans="1:4">
      <c r="A286" s="171" t="s">
        <v>915</v>
      </c>
      <c r="B286" s="178" t="s">
        <v>916</v>
      </c>
      <c r="C286" s="149"/>
      <c r="D286" s="149"/>
    </row>
    <row r="287" spans="1:4">
      <c r="A287" s="171" t="s">
        <v>917</v>
      </c>
      <c r="B287" s="175" t="s">
        <v>918</v>
      </c>
      <c r="C287" s="149"/>
      <c r="D287" s="149"/>
    </row>
    <row r="288" spans="1:4">
      <c r="A288" s="171" t="s">
        <v>919</v>
      </c>
      <c r="B288" s="175" t="s">
        <v>920</v>
      </c>
      <c r="C288" s="149"/>
      <c r="D288" s="149"/>
    </row>
    <row r="289" spans="1:4">
      <c r="A289" s="171" t="s">
        <v>921</v>
      </c>
      <c r="B289" s="175" t="s">
        <v>922</v>
      </c>
      <c r="C289" s="149"/>
      <c r="D289" s="149"/>
    </row>
    <row r="290" spans="1:4">
      <c r="A290" s="171" t="s">
        <v>923</v>
      </c>
      <c r="B290" s="175" t="s">
        <v>924</v>
      </c>
      <c r="C290" s="149"/>
      <c r="D290" s="149"/>
    </row>
    <row r="291" spans="1:4">
      <c r="A291" s="171" t="s">
        <v>925</v>
      </c>
      <c r="B291" s="175" t="s">
        <v>926</v>
      </c>
      <c r="C291" s="149"/>
      <c r="D291" s="149"/>
    </row>
    <row r="292" spans="1:4">
      <c r="A292" s="171" t="s">
        <v>927</v>
      </c>
      <c r="B292" s="175" t="s">
        <v>928</v>
      </c>
      <c r="C292" s="149"/>
      <c r="D292" s="149"/>
    </row>
    <row r="293" spans="1:4">
      <c r="A293" s="171" t="s">
        <v>929</v>
      </c>
      <c r="B293" s="175" t="s">
        <v>930</v>
      </c>
      <c r="C293" s="149"/>
      <c r="D293" s="149"/>
    </row>
    <row r="294" spans="1:4">
      <c r="A294" s="171" t="s">
        <v>931</v>
      </c>
      <c r="B294" s="175" t="s">
        <v>932</v>
      </c>
      <c r="C294" s="149"/>
      <c r="D294" s="149"/>
    </row>
    <row r="295" spans="1:4">
      <c r="A295" s="171" t="s">
        <v>933</v>
      </c>
      <c r="B295" s="175" t="s">
        <v>934</v>
      </c>
      <c r="C295" s="149"/>
      <c r="D295" s="149"/>
    </row>
    <row r="296" spans="1:4">
      <c r="A296" s="171" t="s">
        <v>935</v>
      </c>
      <c r="B296" s="175" t="s">
        <v>936</v>
      </c>
      <c r="C296" s="149"/>
      <c r="D296" s="149"/>
    </row>
    <row r="297" spans="1:4">
      <c r="A297" s="171" t="s">
        <v>937</v>
      </c>
      <c r="B297" s="175" t="s">
        <v>938</v>
      </c>
      <c r="C297" s="149"/>
      <c r="D297" s="149"/>
    </row>
    <row r="298" spans="1:4">
      <c r="A298" s="171" t="s">
        <v>939</v>
      </c>
      <c r="B298" s="175" t="s">
        <v>940</v>
      </c>
      <c r="C298" s="149"/>
      <c r="D298" s="149"/>
    </row>
    <row r="299" spans="1:4">
      <c r="A299" s="171" t="s">
        <v>941</v>
      </c>
      <c r="B299" s="175" t="s">
        <v>942</v>
      </c>
      <c r="C299" s="149"/>
      <c r="D299" s="149"/>
    </row>
    <row r="300" spans="1:4">
      <c r="A300" s="171" t="s">
        <v>943</v>
      </c>
      <c r="B300" s="175" t="s">
        <v>944</v>
      </c>
      <c r="C300" s="149"/>
      <c r="D300" s="149"/>
    </row>
    <row r="301" spans="1:4">
      <c r="A301" s="171" t="s">
        <v>945</v>
      </c>
      <c r="B301" s="175" t="s">
        <v>946</v>
      </c>
      <c r="C301" s="149"/>
      <c r="D301" s="149"/>
    </row>
    <row r="302" spans="1:4">
      <c r="A302" s="171" t="s">
        <v>947</v>
      </c>
      <c r="B302" s="175" t="s">
        <v>948</v>
      </c>
      <c r="C302" s="149"/>
      <c r="D302" s="149"/>
    </row>
    <row r="303" spans="1:4">
      <c r="A303" s="171" t="s">
        <v>949</v>
      </c>
      <c r="B303" s="175" t="s">
        <v>950</v>
      </c>
      <c r="C303" s="149"/>
      <c r="D303" s="149"/>
    </row>
    <row r="304" spans="1:4">
      <c r="A304" s="171" t="s">
        <v>951</v>
      </c>
      <c r="B304" s="175" t="s">
        <v>952</v>
      </c>
      <c r="C304" s="149"/>
      <c r="D304" s="149"/>
    </row>
    <row r="305" spans="1:4">
      <c r="A305" s="171" t="s">
        <v>953</v>
      </c>
      <c r="B305" s="175" t="s">
        <v>954</v>
      </c>
      <c r="C305" s="149"/>
      <c r="D305" s="149"/>
    </row>
    <row r="306" spans="1:4">
      <c r="A306" s="171" t="s">
        <v>955</v>
      </c>
      <c r="B306" s="175" t="s">
        <v>956</v>
      </c>
      <c r="C306" s="149"/>
      <c r="D306" s="149"/>
    </row>
    <row r="307" spans="1:4">
      <c r="A307" s="171" t="s">
        <v>957</v>
      </c>
      <c r="B307" s="179" t="s">
        <v>958</v>
      </c>
      <c r="C307" s="149"/>
      <c r="D307" s="149"/>
    </row>
    <row r="308" spans="1:4">
      <c r="A308" s="171" t="s">
        <v>959</v>
      </c>
      <c r="B308" s="179" t="s">
        <v>960</v>
      </c>
      <c r="C308" s="149"/>
      <c r="D308" s="149"/>
    </row>
    <row r="309" spans="1:4">
      <c r="A309" s="171" t="s">
        <v>961</v>
      </c>
      <c r="B309" s="179" t="s">
        <v>962</v>
      </c>
      <c r="C309" s="149"/>
      <c r="D309" s="149"/>
    </row>
    <row r="310" spans="1:4" ht="25.5">
      <c r="A310" s="171" t="s">
        <v>963</v>
      </c>
      <c r="B310" s="179" t="s">
        <v>964</v>
      </c>
      <c r="C310" s="149"/>
      <c r="D310" s="149"/>
    </row>
    <row r="311" spans="1:4" ht="25.5">
      <c r="A311" s="171" t="s">
        <v>965</v>
      </c>
      <c r="B311" s="179" t="s">
        <v>966</v>
      </c>
      <c r="C311" s="149"/>
      <c r="D311" s="149"/>
    </row>
    <row r="312" spans="1:4">
      <c r="A312" s="171" t="s">
        <v>967</v>
      </c>
      <c r="B312" s="179" t="s">
        <v>968</v>
      </c>
      <c r="C312" s="149"/>
      <c r="D312" s="149"/>
    </row>
    <row r="313" spans="1:4">
      <c r="A313" s="171" t="s">
        <v>969</v>
      </c>
      <c r="B313" s="179" t="s">
        <v>970</v>
      </c>
      <c r="C313" s="149"/>
      <c r="D313" s="149"/>
    </row>
    <row r="314" spans="1:4" ht="18.75">
      <c r="A314" s="170">
        <v>7</v>
      </c>
      <c r="B314" s="177" t="s">
        <v>971</v>
      </c>
      <c r="C314" s="169"/>
      <c r="D314" s="169"/>
    </row>
    <row r="315" spans="1:4">
      <c r="A315" s="171" t="s">
        <v>972</v>
      </c>
      <c r="B315" s="179" t="s">
        <v>973</v>
      </c>
      <c r="C315" s="149"/>
      <c r="D315" s="149"/>
    </row>
    <row r="316" spans="1:4">
      <c r="A316" s="171" t="s">
        <v>974</v>
      </c>
      <c r="B316" s="179" t="s">
        <v>975</v>
      </c>
      <c r="C316" s="149"/>
      <c r="D316" s="149"/>
    </row>
    <row r="317" spans="1:4">
      <c r="A317" s="171" t="s">
        <v>976</v>
      </c>
      <c r="B317" s="179" t="s">
        <v>977</v>
      </c>
      <c r="C317" s="149"/>
      <c r="D317" s="149"/>
    </row>
    <row r="318" spans="1:4">
      <c r="A318" s="171" t="s">
        <v>978</v>
      </c>
      <c r="B318" s="179" t="s">
        <v>979</v>
      </c>
      <c r="C318" s="149"/>
      <c r="D318" s="149"/>
    </row>
    <row r="319" spans="1:4">
      <c r="A319" s="171" t="s">
        <v>980</v>
      </c>
      <c r="B319" s="179" t="s">
        <v>981</v>
      </c>
      <c r="C319" s="149"/>
      <c r="D319" s="149"/>
    </row>
    <row r="320" spans="1:4">
      <c r="A320" s="171" t="s">
        <v>982</v>
      </c>
      <c r="B320" s="179" t="s">
        <v>983</v>
      </c>
      <c r="C320" s="149"/>
      <c r="D320" s="149"/>
    </row>
    <row r="321" spans="1:4">
      <c r="A321" s="171" t="s">
        <v>984</v>
      </c>
      <c r="B321" s="179" t="s">
        <v>985</v>
      </c>
      <c r="C321" s="149"/>
      <c r="D321" s="149"/>
    </row>
    <row r="322" spans="1:4">
      <c r="A322" s="171" t="s">
        <v>986</v>
      </c>
      <c r="B322" s="178" t="s">
        <v>987</v>
      </c>
      <c r="C322" s="149"/>
      <c r="D322" s="149"/>
    </row>
    <row r="323" spans="1:4">
      <c r="A323" s="171" t="s">
        <v>988</v>
      </c>
      <c r="B323" s="178" t="s">
        <v>989</v>
      </c>
      <c r="C323" s="149"/>
      <c r="D323" s="149"/>
    </row>
    <row r="324" spans="1:4" ht="25.5">
      <c r="A324" s="171" t="s">
        <v>990</v>
      </c>
      <c r="B324" s="179" t="s">
        <v>991</v>
      </c>
      <c r="C324" s="149"/>
      <c r="D324" s="149"/>
    </row>
    <row r="325" spans="1:4" ht="25.5">
      <c r="A325" s="171" t="s">
        <v>992</v>
      </c>
      <c r="B325" s="179" t="s">
        <v>993</v>
      </c>
      <c r="C325" s="149"/>
      <c r="D325" s="149"/>
    </row>
    <row r="326" spans="1:4" ht="25.5">
      <c r="A326" s="171" t="s">
        <v>994</v>
      </c>
      <c r="B326" s="179" t="s">
        <v>995</v>
      </c>
      <c r="C326" s="149"/>
      <c r="D326" s="149"/>
    </row>
    <row r="327" spans="1:4" ht="25.5">
      <c r="A327" s="171" t="s">
        <v>996</v>
      </c>
      <c r="B327" s="179" t="s">
        <v>997</v>
      </c>
      <c r="C327" s="149"/>
      <c r="D327" s="149"/>
    </row>
    <row r="328" spans="1:4">
      <c r="A328" s="171" t="s">
        <v>998</v>
      </c>
      <c r="B328" s="178" t="s">
        <v>999</v>
      </c>
      <c r="C328" s="149"/>
      <c r="D328" s="149"/>
    </row>
    <row r="329" spans="1:4">
      <c r="A329" s="171" t="s">
        <v>1000</v>
      </c>
      <c r="B329" s="178" t="s">
        <v>1001</v>
      </c>
      <c r="C329" s="149"/>
      <c r="D329" s="149"/>
    </row>
    <row r="330" spans="1:4">
      <c r="A330" s="171" t="s">
        <v>1002</v>
      </c>
      <c r="B330" s="179" t="s">
        <v>1003</v>
      </c>
      <c r="C330" s="149"/>
      <c r="D330" s="149"/>
    </row>
    <row r="331" spans="1:4">
      <c r="A331" s="171" t="s">
        <v>1004</v>
      </c>
      <c r="B331" s="179" t="s">
        <v>1005</v>
      </c>
      <c r="C331" s="149"/>
      <c r="D331" s="149"/>
    </row>
    <row r="332" spans="1:4">
      <c r="A332" s="171" t="s">
        <v>1006</v>
      </c>
      <c r="B332" s="175" t="s">
        <v>1007</v>
      </c>
      <c r="C332" s="149"/>
      <c r="D332" s="149"/>
    </row>
    <row r="333" spans="1:4">
      <c r="A333" s="171" t="s">
        <v>1008</v>
      </c>
      <c r="B333" s="175" t="s">
        <v>1009</v>
      </c>
      <c r="C333" s="149"/>
      <c r="D333" s="149"/>
    </row>
    <row r="334" spans="1:4">
      <c r="A334" s="171" t="s">
        <v>1010</v>
      </c>
      <c r="B334" s="175" t="s">
        <v>1011</v>
      </c>
      <c r="C334" s="149"/>
      <c r="D334" s="149"/>
    </row>
    <row r="335" spans="1:4" ht="25.5">
      <c r="A335" s="171" t="s">
        <v>1012</v>
      </c>
      <c r="B335" s="175" t="s">
        <v>1013</v>
      </c>
      <c r="C335" s="149"/>
      <c r="D335" s="149"/>
    </row>
    <row r="336" spans="1:4" ht="25.5">
      <c r="A336" s="171" t="s">
        <v>1014</v>
      </c>
      <c r="B336" s="175" t="s">
        <v>1015</v>
      </c>
      <c r="C336" s="149"/>
      <c r="D336" s="149"/>
    </row>
    <row r="337" spans="1:4">
      <c r="A337" s="171" t="s">
        <v>1016</v>
      </c>
      <c r="B337" s="175" t="s">
        <v>1017</v>
      </c>
      <c r="C337" s="149"/>
      <c r="D337" s="149"/>
    </row>
    <row r="338" spans="1:4">
      <c r="A338" s="171" t="s">
        <v>1018</v>
      </c>
      <c r="B338" s="175" t="s">
        <v>1019</v>
      </c>
      <c r="C338" s="149"/>
      <c r="D338" s="149"/>
    </row>
    <row r="339" spans="1:4" ht="25.5">
      <c r="A339" s="171" t="s">
        <v>1020</v>
      </c>
      <c r="B339" s="175" t="s">
        <v>1021</v>
      </c>
      <c r="C339" s="149"/>
      <c r="D339" s="149"/>
    </row>
    <row r="340" spans="1:4" ht="25.5">
      <c r="A340" s="171" t="s">
        <v>1022</v>
      </c>
      <c r="B340" s="175" t="s">
        <v>1023</v>
      </c>
      <c r="C340" s="149"/>
      <c r="D340" s="149"/>
    </row>
    <row r="341" spans="1:4">
      <c r="A341" s="171" t="s">
        <v>1024</v>
      </c>
      <c r="B341" s="175" t="s">
        <v>1025</v>
      </c>
      <c r="C341" s="149"/>
      <c r="D341" s="149"/>
    </row>
    <row r="342" spans="1:4">
      <c r="A342" s="171" t="s">
        <v>1026</v>
      </c>
      <c r="B342" s="175" t="s">
        <v>1027</v>
      </c>
      <c r="C342" s="149"/>
      <c r="D342" s="149"/>
    </row>
    <row r="343" spans="1:4" ht="37.5">
      <c r="A343" s="170">
        <v>8</v>
      </c>
      <c r="B343" s="177" t="s">
        <v>1028</v>
      </c>
      <c r="C343" s="169"/>
      <c r="D343" s="169"/>
    </row>
    <row r="344" spans="1:4" ht="25.5">
      <c r="A344" s="180" t="s">
        <v>1029</v>
      </c>
      <c r="B344" s="178" t="s">
        <v>1030</v>
      </c>
      <c r="C344" s="149"/>
      <c r="D344" s="149"/>
    </row>
    <row r="345" spans="1:4" ht="25.5">
      <c r="A345" s="180" t="s">
        <v>1031</v>
      </c>
      <c r="B345" s="178" t="s">
        <v>1032</v>
      </c>
      <c r="C345" s="149"/>
      <c r="D345" s="149"/>
    </row>
    <row r="346" spans="1:4">
      <c r="A346" s="171" t="s">
        <v>1033</v>
      </c>
      <c r="B346" s="175" t="s">
        <v>1034</v>
      </c>
      <c r="C346" s="149"/>
      <c r="D346" s="149"/>
    </row>
    <row r="347" spans="1:4">
      <c r="A347" s="171" t="s">
        <v>1035</v>
      </c>
      <c r="B347" s="175" t="s">
        <v>1036</v>
      </c>
      <c r="C347" s="149"/>
      <c r="D347" s="149"/>
    </row>
    <row r="348" spans="1:4">
      <c r="A348" s="176" t="s">
        <v>1037</v>
      </c>
      <c r="B348" s="178" t="s">
        <v>1038</v>
      </c>
      <c r="C348" s="149"/>
      <c r="D348" s="149"/>
    </row>
    <row r="349" spans="1:4">
      <c r="A349" s="176" t="s">
        <v>1039</v>
      </c>
      <c r="B349" s="178" t="s">
        <v>1040</v>
      </c>
      <c r="C349" s="149"/>
      <c r="D349" s="149"/>
    </row>
    <row r="350" spans="1:4">
      <c r="A350" s="176" t="s">
        <v>1041</v>
      </c>
      <c r="B350" s="178" t="s">
        <v>1042</v>
      </c>
      <c r="C350" s="149"/>
      <c r="D350" s="149"/>
    </row>
    <row r="351" spans="1:4">
      <c r="A351" s="176" t="s">
        <v>1043</v>
      </c>
      <c r="B351" s="178" t="s">
        <v>1044</v>
      </c>
      <c r="C351" s="149"/>
      <c r="D351" s="149"/>
    </row>
    <row r="352" spans="1:4">
      <c r="A352" s="176" t="s">
        <v>1045</v>
      </c>
      <c r="B352" s="178" t="s">
        <v>1046</v>
      </c>
      <c r="C352" s="149"/>
      <c r="D352" s="149"/>
    </row>
    <row r="353" spans="1:4">
      <c r="A353" s="171" t="s">
        <v>1047</v>
      </c>
      <c r="B353" s="179" t="s">
        <v>1048</v>
      </c>
      <c r="C353" s="149"/>
      <c r="D353" s="149"/>
    </row>
    <row r="354" spans="1:4">
      <c r="A354" s="171" t="s">
        <v>1049</v>
      </c>
      <c r="B354" s="179" t="s">
        <v>1050</v>
      </c>
      <c r="C354" s="149"/>
      <c r="D354" s="149"/>
    </row>
    <row r="355" spans="1:4">
      <c r="A355" s="171" t="s">
        <v>1051</v>
      </c>
      <c r="B355" s="175" t="s">
        <v>1052</v>
      </c>
      <c r="C355" s="149"/>
      <c r="D355" s="149"/>
    </row>
    <row r="356" spans="1:4">
      <c r="A356" s="171" t="s">
        <v>1053</v>
      </c>
      <c r="B356" s="175" t="s">
        <v>1054</v>
      </c>
      <c r="C356" s="149"/>
      <c r="D356" s="149"/>
    </row>
    <row r="357" spans="1:4">
      <c r="A357" s="171" t="s">
        <v>1055</v>
      </c>
      <c r="B357" s="175" t="s">
        <v>1056</v>
      </c>
      <c r="C357" s="149"/>
      <c r="D357" s="149"/>
    </row>
    <row r="358" spans="1:4">
      <c r="A358" s="171" t="s">
        <v>1057</v>
      </c>
      <c r="B358" s="175" t="s">
        <v>1058</v>
      </c>
      <c r="C358" s="149"/>
      <c r="D358" s="149"/>
    </row>
    <row r="359" spans="1:4">
      <c r="A359" s="171" t="s">
        <v>1059</v>
      </c>
      <c r="B359" s="175" t="s">
        <v>1060</v>
      </c>
      <c r="C359" s="149"/>
      <c r="D359" s="149"/>
    </row>
    <row r="360" spans="1:4">
      <c r="A360" s="171" t="s">
        <v>1061</v>
      </c>
      <c r="B360" s="175" t="s">
        <v>1060</v>
      </c>
      <c r="C360" s="149"/>
      <c r="D360" s="149"/>
    </row>
    <row r="361" spans="1:4">
      <c r="A361" s="171" t="s">
        <v>1062</v>
      </c>
      <c r="B361" s="179" t="s">
        <v>1063</v>
      </c>
      <c r="C361" s="149"/>
      <c r="D361" s="149"/>
    </row>
    <row r="362" spans="1:4">
      <c r="A362" s="171" t="s">
        <v>1064</v>
      </c>
      <c r="B362" s="179" t="s">
        <v>1065</v>
      </c>
      <c r="C362" s="149"/>
      <c r="D362" s="149"/>
    </row>
    <row r="363" spans="1:4">
      <c r="A363" s="171" t="s">
        <v>1066</v>
      </c>
      <c r="B363" s="175" t="s">
        <v>1067</v>
      </c>
      <c r="C363" s="149"/>
      <c r="D363" s="149"/>
    </row>
    <row r="364" spans="1:4" ht="25.5">
      <c r="A364" s="171" t="s">
        <v>1068</v>
      </c>
      <c r="B364" s="175" t="s">
        <v>1069</v>
      </c>
      <c r="C364" s="149"/>
      <c r="D364" s="149"/>
    </row>
    <row r="365" spans="1:4" ht="25.5">
      <c r="A365" s="171" t="s">
        <v>1070</v>
      </c>
      <c r="B365" s="175" t="s">
        <v>1071</v>
      </c>
      <c r="C365" s="149"/>
      <c r="D365" s="149"/>
    </row>
    <row r="366" spans="1:4" ht="25.5">
      <c r="A366" s="171" t="s">
        <v>1072</v>
      </c>
      <c r="B366" s="175" t="s">
        <v>1073</v>
      </c>
      <c r="C366" s="149"/>
      <c r="D366" s="149"/>
    </row>
    <row r="367" spans="1:4">
      <c r="A367" s="171" t="s">
        <v>1074</v>
      </c>
      <c r="B367" s="175" t="s">
        <v>1075</v>
      </c>
      <c r="C367" s="149"/>
      <c r="D367" s="149"/>
    </row>
    <row r="368" spans="1:4">
      <c r="A368" s="171" t="s">
        <v>1076</v>
      </c>
      <c r="B368" s="175" t="s">
        <v>1077</v>
      </c>
      <c r="C368" s="149"/>
      <c r="D368" s="149"/>
    </row>
    <row r="369" spans="1:4">
      <c r="A369" s="171" t="s">
        <v>1078</v>
      </c>
      <c r="B369" s="175" t="s">
        <v>1079</v>
      </c>
      <c r="C369" s="149"/>
      <c r="D369" s="149"/>
    </row>
    <row r="370" spans="1:4">
      <c r="A370" s="171" t="s">
        <v>1080</v>
      </c>
      <c r="B370" s="175" t="s">
        <v>1081</v>
      </c>
      <c r="C370" s="149"/>
      <c r="D370" s="149"/>
    </row>
    <row r="371" spans="1:4">
      <c r="A371" s="171" t="s">
        <v>1082</v>
      </c>
      <c r="B371" s="178" t="s">
        <v>1083</v>
      </c>
      <c r="C371" s="149"/>
      <c r="D371" s="149"/>
    </row>
    <row r="372" spans="1:4">
      <c r="A372" s="171" t="s">
        <v>1084</v>
      </c>
      <c r="B372" s="178" t="s">
        <v>1085</v>
      </c>
      <c r="C372" s="149"/>
      <c r="D372" s="149"/>
    </row>
    <row r="373" spans="1:4">
      <c r="A373" s="171" t="s">
        <v>1086</v>
      </c>
      <c r="B373" s="175" t="s">
        <v>1087</v>
      </c>
      <c r="C373" s="149"/>
      <c r="D373" s="149"/>
    </row>
    <row r="374" spans="1:4">
      <c r="A374" s="171" t="s">
        <v>1088</v>
      </c>
      <c r="B374" s="178" t="s">
        <v>1089</v>
      </c>
      <c r="C374" s="149"/>
      <c r="D374" s="149"/>
    </row>
    <row r="375" spans="1:4">
      <c r="A375" s="171" t="s">
        <v>1090</v>
      </c>
      <c r="B375" s="178" t="s">
        <v>1091</v>
      </c>
      <c r="C375" s="149"/>
      <c r="D375" s="149"/>
    </row>
    <row r="376" spans="1:4">
      <c r="A376" s="171" t="s">
        <v>1092</v>
      </c>
      <c r="B376" s="175" t="s">
        <v>1093</v>
      </c>
      <c r="C376" s="149"/>
      <c r="D376" s="149"/>
    </row>
    <row r="377" spans="1:4">
      <c r="A377" s="171" t="s">
        <v>1094</v>
      </c>
      <c r="B377" s="175" t="s">
        <v>1095</v>
      </c>
      <c r="C377" s="149"/>
      <c r="D377" s="149"/>
    </row>
    <row r="378" spans="1:4">
      <c r="A378" s="171" t="s">
        <v>1096</v>
      </c>
      <c r="B378" s="175" t="s">
        <v>1097</v>
      </c>
      <c r="C378" s="149"/>
      <c r="D378" s="149"/>
    </row>
    <row r="379" spans="1:4">
      <c r="A379" s="171" t="s">
        <v>1098</v>
      </c>
      <c r="B379" s="178" t="s">
        <v>1099</v>
      </c>
      <c r="C379" s="149"/>
      <c r="D379" s="149"/>
    </row>
    <row r="380" spans="1:4">
      <c r="A380" s="171" t="s">
        <v>1100</v>
      </c>
      <c r="B380" s="178" t="s">
        <v>1101</v>
      </c>
      <c r="C380" s="149"/>
      <c r="D380" s="149"/>
    </row>
    <row r="381" spans="1:4">
      <c r="A381" s="171" t="s">
        <v>1102</v>
      </c>
      <c r="B381" s="178" t="s">
        <v>1103</v>
      </c>
      <c r="C381" s="149"/>
      <c r="D381" s="149"/>
    </row>
    <row r="382" spans="1:4">
      <c r="A382" s="171" t="s">
        <v>1104</v>
      </c>
      <c r="B382" s="175" t="s">
        <v>1105</v>
      </c>
      <c r="C382" s="149"/>
      <c r="D382" s="149"/>
    </row>
    <row r="383" spans="1:4">
      <c r="A383" s="171" t="s">
        <v>1106</v>
      </c>
      <c r="B383" s="175" t="s">
        <v>1107</v>
      </c>
      <c r="C383" s="149"/>
      <c r="D383" s="149"/>
    </row>
    <row r="384" spans="1:4">
      <c r="A384" s="171" t="s">
        <v>1108</v>
      </c>
      <c r="B384" s="175" t="s">
        <v>1109</v>
      </c>
      <c r="C384" s="149"/>
      <c r="D384" s="149"/>
    </row>
    <row r="385" spans="1:4">
      <c r="A385" s="171" t="s">
        <v>1110</v>
      </c>
      <c r="B385" s="175" t="s">
        <v>1111</v>
      </c>
      <c r="C385" s="149"/>
      <c r="D385" s="149"/>
    </row>
    <row r="386" spans="1:4">
      <c r="A386" s="171" t="s">
        <v>1112</v>
      </c>
      <c r="B386" s="175" t="s">
        <v>1113</v>
      </c>
      <c r="C386" s="149"/>
      <c r="D386" s="149"/>
    </row>
    <row r="387" spans="1:4">
      <c r="A387" s="171" t="s">
        <v>1114</v>
      </c>
      <c r="B387" s="175" t="s">
        <v>1115</v>
      </c>
      <c r="C387" s="149"/>
      <c r="D387" s="149"/>
    </row>
    <row r="388" spans="1:4">
      <c r="A388" s="171" t="s">
        <v>1116</v>
      </c>
      <c r="B388" s="175" t="s">
        <v>1117</v>
      </c>
      <c r="C388" s="149"/>
      <c r="D388" s="149"/>
    </row>
    <row r="389" spans="1:4">
      <c r="A389" s="171" t="s">
        <v>1118</v>
      </c>
      <c r="B389" s="175" t="s">
        <v>1119</v>
      </c>
      <c r="C389" s="149"/>
      <c r="D389" s="149"/>
    </row>
    <row r="390" spans="1:4">
      <c r="A390" s="171" t="s">
        <v>1120</v>
      </c>
      <c r="B390" s="175" t="s">
        <v>1121</v>
      </c>
      <c r="C390" s="149"/>
      <c r="D390" s="149"/>
    </row>
    <row r="391" spans="1:4">
      <c r="A391" s="171" t="s">
        <v>1122</v>
      </c>
      <c r="B391" s="175" t="s">
        <v>1123</v>
      </c>
      <c r="C391" s="149"/>
      <c r="D391" s="149"/>
    </row>
    <row r="392" spans="1:4">
      <c r="A392" s="171" t="s">
        <v>1124</v>
      </c>
      <c r="B392" s="175" t="s">
        <v>1125</v>
      </c>
      <c r="C392" s="149"/>
      <c r="D392" s="149"/>
    </row>
    <row r="393" spans="1:4">
      <c r="A393" s="171" t="s">
        <v>1126</v>
      </c>
      <c r="B393" s="175" t="s">
        <v>1127</v>
      </c>
      <c r="C393" s="149"/>
      <c r="D393" s="149"/>
    </row>
    <row r="394" spans="1:4">
      <c r="A394" s="171" t="s">
        <v>1128</v>
      </c>
      <c r="B394" s="178" t="s">
        <v>1129</v>
      </c>
      <c r="C394" s="149"/>
      <c r="D394" s="149"/>
    </row>
    <row r="395" spans="1:4">
      <c r="A395" s="171" t="s">
        <v>1130</v>
      </c>
      <c r="B395" s="178" t="s">
        <v>1131</v>
      </c>
      <c r="C395" s="149"/>
      <c r="D395" s="149"/>
    </row>
    <row r="396" spans="1:4">
      <c r="A396" s="171" t="s">
        <v>1132</v>
      </c>
      <c r="B396" s="178" t="s">
        <v>1133</v>
      </c>
      <c r="C396" s="149"/>
      <c r="D396" s="149"/>
    </row>
    <row r="397" spans="1:4">
      <c r="A397" s="171" t="s">
        <v>1134</v>
      </c>
      <c r="B397" s="178" t="s">
        <v>1135</v>
      </c>
      <c r="C397" s="149"/>
      <c r="D397" s="149"/>
    </row>
    <row r="398" spans="1:4">
      <c r="A398" s="171" t="s">
        <v>1136</v>
      </c>
      <c r="B398" s="175" t="s">
        <v>1137</v>
      </c>
      <c r="C398" s="149"/>
      <c r="D398" s="149"/>
    </row>
    <row r="399" spans="1:4">
      <c r="A399" s="171" t="s">
        <v>1138</v>
      </c>
      <c r="B399" s="175" t="s">
        <v>1139</v>
      </c>
      <c r="C399" s="149"/>
      <c r="D399" s="149"/>
    </row>
    <row r="400" spans="1:4">
      <c r="A400" s="171" t="s">
        <v>1140</v>
      </c>
      <c r="B400" s="175" t="s">
        <v>1141</v>
      </c>
      <c r="C400" s="149"/>
      <c r="D400" s="149"/>
    </row>
    <row r="401" spans="1:4">
      <c r="A401" s="171" t="s">
        <v>1142</v>
      </c>
      <c r="B401" s="175" t="s">
        <v>1143</v>
      </c>
      <c r="C401" s="149"/>
      <c r="D401" s="149"/>
    </row>
    <row r="402" spans="1:4">
      <c r="A402" s="171" t="s">
        <v>1144</v>
      </c>
      <c r="B402" s="175" t="s">
        <v>1145</v>
      </c>
      <c r="C402" s="149"/>
      <c r="D402" s="149"/>
    </row>
    <row r="403" spans="1:4">
      <c r="A403" s="171" t="s">
        <v>1146</v>
      </c>
      <c r="B403" s="175" t="s">
        <v>1147</v>
      </c>
      <c r="C403" s="149"/>
      <c r="D403" s="149"/>
    </row>
    <row r="404" spans="1:4">
      <c r="A404" s="171" t="s">
        <v>1148</v>
      </c>
      <c r="B404" s="175" t="s">
        <v>1149</v>
      </c>
      <c r="C404" s="149"/>
      <c r="D404" s="149"/>
    </row>
    <row r="405" spans="1:4">
      <c r="A405" s="171" t="s">
        <v>1150</v>
      </c>
      <c r="B405" s="175" t="s">
        <v>1151</v>
      </c>
      <c r="C405" s="149"/>
      <c r="D405" s="149"/>
    </row>
    <row r="406" spans="1:4">
      <c r="A406" s="171" t="s">
        <v>1152</v>
      </c>
      <c r="B406" s="175" t="s">
        <v>1153</v>
      </c>
      <c r="C406" s="149"/>
      <c r="D406" s="149"/>
    </row>
    <row r="407" spans="1:4">
      <c r="A407" s="171" t="s">
        <v>1154</v>
      </c>
      <c r="B407" s="175" t="s">
        <v>1155</v>
      </c>
      <c r="C407" s="149"/>
      <c r="D407" s="149"/>
    </row>
    <row r="408" spans="1:4">
      <c r="A408" s="171" t="s">
        <v>1156</v>
      </c>
      <c r="B408" s="175" t="s">
        <v>1157</v>
      </c>
      <c r="C408" s="149"/>
      <c r="D408" s="149"/>
    </row>
    <row r="409" spans="1:4">
      <c r="A409" s="171" t="s">
        <v>1158</v>
      </c>
      <c r="B409" s="175" t="s">
        <v>1159</v>
      </c>
      <c r="C409" s="149"/>
      <c r="D409" s="149"/>
    </row>
    <row r="410" spans="1:4">
      <c r="A410" s="171" t="s">
        <v>1160</v>
      </c>
      <c r="B410" s="175" t="s">
        <v>1161</v>
      </c>
      <c r="C410" s="149"/>
      <c r="D410" s="149"/>
    </row>
    <row r="411" spans="1:4">
      <c r="A411" s="171" t="s">
        <v>1162</v>
      </c>
      <c r="B411" s="172" t="s">
        <v>1163</v>
      </c>
      <c r="C411" s="149"/>
      <c r="D411" s="149"/>
    </row>
    <row r="412" spans="1:4">
      <c r="A412" s="171" t="s">
        <v>1164</v>
      </c>
      <c r="B412" s="172" t="s">
        <v>1165</v>
      </c>
      <c r="C412" s="149"/>
      <c r="D412" s="149"/>
    </row>
    <row r="413" spans="1:4">
      <c r="A413" s="171" t="s">
        <v>1166</v>
      </c>
      <c r="B413" s="172" t="s">
        <v>1167</v>
      </c>
      <c r="C413" s="149"/>
      <c r="D413" s="149"/>
    </row>
    <row r="414" spans="1:4">
      <c r="A414" s="171" t="s">
        <v>1168</v>
      </c>
      <c r="B414" s="172" t="s">
        <v>1169</v>
      </c>
      <c r="C414" s="149"/>
      <c r="D414" s="149"/>
    </row>
    <row r="415" spans="1:4">
      <c r="A415" s="171" t="s">
        <v>1170</v>
      </c>
      <c r="B415" s="172" t="s">
        <v>1171</v>
      </c>
      <c r="C415" s="149"/>
      <c r="D415" s="149"/>
    </row>
    <row r="416" spans="1:4">
      <c r="A416" s="171" t="s">
        <v>1172</v>
      </c>
      <c r="B416" s="172" t="s">
        <v>1173</v>
      </c>
      <c r="C416" s="149"/>
      <c r="D416" s="149"/>
    </row>
    <row r="417" spans="1:4">
      <c r="A417" s="171" t="s">
        <v>1174</v>
      </c>
      <c r="B417" s="181" t="s">
        <v>1175</v>
      </c>
      <c r="C417" s="149"/>
      <c r="D417" s="149"/>
    </row>
    <row r="418" spans="1:4">
      <c r="A418" s="171" t="s">
        <v>1176</v>
      </c>
      <c r="B418" s="172" t="s">
        <v>1177</v>
      </c>
      <c r="C418" s="149"/>
      <c r="D418" s="149"/>
    </row>
    <row r="419" spans="1:4">
      <c r="A419" s="171" t="s">
        <v>1178</v>
      </c>
      <c r="B419" s="172" t="s">
        <v>1179</v>
      </c>
      <c r="C419" s="149"/>
      <c r="D419" s="149"/>
    </row>
    <row r="420" spans="1:4">
      <c r="A420" s="171" t="s">
        <v>1180</v>
      </c>
      <c r="B420" s="172" t="s">
        <v>1181</v>
      </c>
      <c r="C420" s="149"/>
      <c r="D420" s="149"/>
    </row>
    <row r="421" spans="1:4">
      <c r="A421" s="171" t="s">
        <v>1182</v>
      </c>
      <c r="B421" s="172" t="s">
        <v>1183</v>
      </c>
      <c r="C421" s="149"/>
      <c r="D421" s="149"/>
    </row>
    <row r="422" spans="1:4">
      <c r="A422" s="171" t="s">
        <v>1184</v>
      </c>
      <c r="B422" s="172" t="s">
        <v>1185</v>
      </c>
      <c r="C422" s="149"/>
      <c r="D422" s="149"/>
    </row>
    <row r="423" spans="1:4">
      <c r="A423" s="171" t="s">
        <v>1186</v>
      </c>
      <c r="B423" s="172" t="s">
        <v>1187</v>
      </c>
      <c r="C423" s="149"/>
      <c r="D423" s="149"/>
    </row>
    <row r="424" spans="1:4">
      <c r="A424" s="171" t="s">
        <v>1188</v>
      </c>
      <c r="B424" s="172" t="s">
        <v>1189</v>
      </c>
      <c r="C424" s="149"/>
      <c r="D424" s="149"/>
    </row>
    <row r="425" spans="1:4">
      <c r="A425" s="171" t="s">
        <v>1190</v>
      </c>
      <c r="B425" s="172" t="s">
        <v>1191</v>
      </c>
      <c r="C425" s="149"/>
      <c r="D425" s="149"/>
    </row>
    <row r="426" spans="1:4">
      <c r="A426" s="171" t="s">
        <v>1192</v>
      </c>
      <c r="B426" s="172" t="s">
        <v>1193</v>
      </c>
      <c r="C426" s="149"/>
      <c r="D426" s="149"/>
    </row>
    <row r="427" spans="1:4">
      <c r="A427" s="171" t="s">
        <v>1194</v>
      </c>
      <c r="B427" s="172" t="s">
        <v>1195</v>
      </c>
      <c r="C427" s="149"/>
      <c r="D427" s="149"/>
    </row>
    <row r="428" spans="1:4" ht="18.75">
      <c r="A428" s="170">
        <v>9</v>
      </c>
      <c r="B428" s="177" t="s">
        <v>1196</v>
      </c>
      <c r="C428" s="169"/>
      <c r="D428" s="169"/>
    </row>
    <row r="429" spans="1:4">
      <c r="A429" s="171" t="s">
        <v>1197</v>
      </c>
      <c r="B429" s="181" t="s">
        <v>1198</v>
      </c>
      <c r="C429" s="149"/>
      <c r="D429" s="149"/>
    </row>
    <row r="430" spans="1:4">
      <c r="A430" s="171" t="s">
        <v>1199</v>
      </c>
      <c r="B430" s="181" t="s">
        <v>1200</v>
      </c>
      <c r="C430" s="149"/>
      <c r="D430" s="149"/>
    </row>
    <row r="431" spans="1:4">
      <c r="A431" s="171" t="s">
        <v>1201</v>
      </c>
      <c r="B431" s="181" t="s">
        <v>1202</v>
      </c>
      <c r="C431" s="149"/>
      <c r="D431" s="149"/>
    </row>
    <row r="432" spans="1:4">
      <c r="A432" s="171" t="s">
        <v>1203</v>
      </c>
      <c r="B432" s="173" t="s">
        <v>1204</v>
      </c>
      <c r="C432" s="149"/>
      <c r="D432" s="149"/>
    </row>
    <row r="433" spans="1:4">
      <c r="A433" s="171" t="s">
        <v>1205</v>
      </c>
      <c r="B433" s="172" t="s">
        <v>1206</v>
      </c>
      <c r="C433" s="149"/>
      <c r="D433" s="149"/>
    </row>
    <row r="434" spans="1:4">
      <c r="A434" s="171" t="s">
        <v>1207</v>
      </c>
      <c r="B434" s="172" t="s">
        <v>1208</v>
      </c>
      <c r="C434" s="149"/>
      <c r="D434" s="149"/>
    </row>
    <row r="435" spans="1:4">
      <c r="A435" s="171" t="s">
        <v>1209</v>
      </c>
      <c r="B435" s="172" t="s">
        <v>1210</v>
      </c>
      <c r="C435" s="149"/>
      <c r="D435" s="149"/>
    </row>
    <row r="436" spans="1:4">
      <c r="A436" s="171" t="s">
        <v>1211</v>
      </c>
      <c r="B436" s="172" t="s">
        <v>1212</v>
      </c>
      <c r="C436" s="149"/>
      <c r="D436" s="149"/>
    </row>
    <row r="437" spans="1:4">
      <c r="A437" s="171" t="s">
        <v>1213</v>
      </c>
      <c r="B437" s="172" t="s">
        <v>1214</v>
      </c>
      <c r="C437" s="149"/>
      <c r="D437" s="149"/>
    </row>
    <row r="438" spans="1:4">
      <c r="A438" s="171" t="s">
        <v>1215</v>
      </c>
      <c r="B438" s="172" t="s">
        <v>1216</v>
      </c>
      <c r="C438" s="149"/>
      <c r="D438" s="149"/>
    </row>
    <row r="439" spans="1:4" ht="25.5">
      <c r="A439" s="171" t="s">
        <v>1217</v>
      </c>
      <c r="B439" s="172" t="s">
        <v>1218</v>
      </c>
      <c r="C439" s="149"/>
      <c r="D439" s="149"/>
    </row>
    <row r="440" spans="1:4">
      <c r="A440" s="171" t="s">
        <v>1219</v>
      </c>
      <c r="B440" s="172" t="s">
        <v>1220</v>
      </c>
      <c r="C440" s="149"/>
      <c r="D440" s="149"/>
    </row>
    <row r="441" spans="1:4" ht="25.5">
      <c r="A441" s="171" t="s">
        <v>1221</v>
      </c>
      <c r="B441" s="172" t="s">
        <v>1222</v>
      </c>
      <c r="C441" s="149"/>
      <c r="D441" s="149"/>
    </row>
    <row r="442" spans="1:4" ht="25.5">
      <c r="A442" s="171" t="s">
        <v>1223</v>
      </c>
      <c r="B442" s="172" t="s">
        <v>1224</v>
      </c>
      <c r="C442" s="149"/>
      <c r="D442" s="149"/>
    </row>
    <row r="443" spans="1:4">
      <c r="A443" s="171" t="s">
        <v>1225</v>
      </c>
      <c r="B443" s="172" t="s">
        <v>1226</v>
      </c>
      <c r="C443" s="149"/>
      <c r="D443" s="149"/>
    </row>
    <row r="444" spans="1:4">
      <c r="A444" s="171" t="s">
        <v>1227</v>
      </c>
      <c r="B444" s="172" t="s">
        <v>1228</v>
      </c>
      <c r="C444" s="149"/>
      <c r="D444" s="149"/>
    </row>
    <row r="445" spans="1:4">
      <c r="A445" s="171" t="s">
        <v>1229</v>
      </c>
      <c r="B445" s="172" t="s">
        <v>1230</v>
      </c>
      <c r="C445" s="149"/>
      <c r="D445" s="149"/>
    </row>
    <row r="446" spans="1:4">
      <c r="A446" s="171" t="s">
        <v>1231</v>
      </c>
      <c r="B446" s="172" t="s">
        <v>1232</v>
      </c>
      <c r="C446" s="149"/>
      <c r="D446" s="149"/>
    </row>
    <row r="447" spans="1:4">
      <c r="A447" s="171" t="s">
        <v>1233</v>
      </c>
      <c r="B447" s="172" t="s">
        <v>1234</v>
      </c>
      <c r="C447" s="149"/>
      <c r="D447" s="149"/>
    </row>
    <row r="448" spans="1:4">
      <c r="A448" s="171" t="s">
        <v>1235</v>
      </c>
      <c r="B448" s="172" t="s">
        <v>1236</v>
      </c>
      <c r="C448" s="149"/>
      <c r="D448" s="149"/>
    </row>
    <row r="449" spans="1:4">
      <c r="A449" s="171" t="s">
        <v>1237</v>
      </c>
      <c r="B449" s="181" t="s">
        <v>1238</v>
      </c>
      <c r="C449" s="149"/>
      <c r="D449" s="149"/>
    </row>
    <row r="450" spans="1:4">
      <c r="A450" s="171" t="s">
        <v>1239</v>
      </c>
      <c r="B450" s="181" t="s">
        <v>1240</v>
      </c>
      <c r="C450" s="149"/>
      <c r="D450" s="149"/>
    </row>
    <row r="451" spans="1:4">
      <c r="A451" s="171" t="s">
        <v>1241</v>
      </c>
      <c r="B451" s="172" t="s">
        <v>1242</v>
      </c>
      <c r="C451" s="149"/>
      <c r="D451" s="149"/>
    </row>
    <row r="452" spans="1:4">
      <c r="A452" s="171" t="s">
        <v>1243</v>
      </c>
      <c r="B452" s="172" t="s">
        <v>1244</v>
      </c>
      <c r="C452" s="149"/>
      <c r="D452" s="149"/>
    </row>
    <row r="453" spans="1:4">
      <c r="A453" s="171" t="s">
        <v>1245</v>
      </c>
      <c r="B453" s="172" t="s">
        <v>1246</v>
      </c>
      <c r="C453" s="149"/>
      <c r="D453" s="149"/>
    </row>
    <row r="454" spans="1:4">
      <c r="A454" s="171" t="s">
        <v>1247</v>
      </c>
      <c r="B454" s="172" t="s">
        <v>1248</v>
      </c>
      <c r="C454" s="149"/>
      <c r="D454" s="149"/>
    </row>
    <row r="455" spans="1:4">
      <c r="A455" s="171" t="s">
        <v>1249</v>
      </c>
      <c r="B455" s="172" t="s">
        <v>1250</v>
      </c>
      <c r="C455" s="149"/>
      <c r="D455" s="149"/>
    </row>
    <row r="456" spans="1:4">
      <c r="A456" s="171" t="s">
        <v>1251</v>
      </c>
      <c r="B456" s="172" t="s">
        <v>1252</v>
      </c>
      <c r="C456" s="149"/>
      <c r="D456" s="149"/>
    </row>
    <row r="457" spans="1:4">
      <c r="A457" s="171" t="s">
        <v>1253</v>
      </c>
      <c r="B457" s="172" t="s">
        <v>1254</v>
      </c>
      <c r="C457" s="149"/>
      <c r="D457" s="149"/>
    </row>
    <row r="458" spans="1:4">
      <c r="A458" s="171" t="s">
        <v>1255</v>
      </c>
      <c r="B458" s="172" t="s">
        <v>1256</v>
      </c>
      <c r="C458" s="149"/>
      <c r="D458" s="149"/>
    </row>
    <row r="459" spans="1:4">
      <c r="A459" s="171" t="s">
        <v>1257</v>
      </c>
      <c r="B459" s="172" t="s">
        <v>1258</v>
      </c>
      <c r="C459" s="149"/>
      <c r="D459" s="149"/>
    </row>
    <row r="460" spans="1:4">
      <c r="A460" s="171" t="s">
        <v>1259</v>
      </c>
      <c r="B460" s="172" t="s">
        <v>1260</v>
      </c>
      <c r="C460" s="149"/>
      <c r="D460" s="149"/>
    </row>
    <row r="461" spans="1:4">
      <c r="A461" s="171" t="s">
        <v>1261</v>
      </c>
      <c r="B461" s="172" t="s">
        <v>1262</v>
      </c>
      <c r="C461" s="149"/>
      <c r="D461" s="149"/>
    </row>
    <row r="462" spans="1:4">
      <c r="A462" s="171" t="s">
        <v>1263</v>
      </c>
      <c r="B462" s="172" t="s">
        <v>1264</v>
      </c>
      <c r="C462" s="149"/>
      <c r="D462" s="149"/>
    </row>
    <row r="463" spans="1:4" ht="37.5">
      <c r="A463" s="170">
        <v>10</v>
      </c>
      <c r="B463" s="177" t="s">
        <v>1265</v>
      </c>
      <c r="C463" s="169"/>
      <c r="D463" s="169"/>
    </row>
    <row r="464" spans="1:4">
      <c r="A464" s="171" t="s">
        <v>1266</v>
      </c>
      <c r="B464" s="172" t="s">
        <v>1267</v>
      </c>
      <c r="C464" s="149"/>
      <c r="D464" s="149"/>
    </row>
    <row r="465" spans="1:4">
      <c r="A465" s="171" t="s">
        <v>1268</v>
      </c>
      <c r="B465" s="172" t="s">
        <v>1269</v>
      </c>
      <c r="C465" s="149"/>
      <c r="D465" s="149"/>
    </row>
    <row r="466" spans="1:4">
      <c r="A466" s="171" t="s">
        <v>1270</v>
      </c>
      <c r="B466" s="181" t="s">
        <v>1271</v>
      </c>
      <c r="C466" s="149"/>
      <c r="D466" s="149"/>
    </row>
    <row r="467" spans="1:4">
      <c r="A467" s="171" t="s">
        <v>1272</v>
      </c>
      <c r="B467" s="181" t="s">
        <v>1273</v>
      </c>
      <c r="C467" s="149"/>
      <c r="D467" s="149"/>
    </row>
    <row r="468" spans="1:4">
      <c r="A468" s="171" t="s">
        <v>1274</v>
      </c>
      <c r="B468" s="172" t="s">
        <v>1275</v>
      </c>
      <c r="C468" s="149"/>
      <c r="D468" s="149"/>
    </row>
    <row r="469" spans="1:4">
      <c r="A469" s="171" t="s">
        <v>1276</v>
      </c>
      <c r="B469" s="181" t="s">
        <v>1277</v>
      </c>
      <c r="C469" s="149"/>
      <c r="D469" s="149"/>
    </row>
    <row r="470" spans="1:4">
      <c r="A470" s="171" t="s">
        <v>1278</v>
      </c>
      <c r="B470" s="181" t="s">
        <v>1279</v>
      </c>
      <c r="C470" s="149"/>
      <c r="D470" s="149"/>
    </row>
    <row r="471" spans="1:4">
      <c r="A471" s="171" t="s">
        <v>1280</v>
      </c>
      <c r="B471" s="181" t="s">
        <v>1281</v>
      </c>
      <c r="C471" s="149"/>
      <c r="D471" s="149"/>
    </row>
    <row r="472" spans="1:4">
      <c r="A472" s="171" t="s">
        <v>1282</v>
      </c>
      <c r="B472" s="181" t="s">
        <v>1283</v>
      </c>
      <c r="C472" s="149"/>
      <c r="D472" s="149"/>
    </row>
    <row r="473" spans="1:4">
      <c r="A473" s="171" t="s">
        <v>1284</v>
      </c>
      <c r="B473" s="181" t="s">
        <v>1285</v>
      </c>
      <c r="C473" s="149"/>
      <c r="D473" s="149"/>
    </row>
    <row r="474" spans="1:4">
      <c r="A474" s="171" t="s">
        <v>1286</v>
      </c>
      <c r="B474" s="181" t="s">
        <v>1287</v>
      </c>
      <c r="C474" s="149"/>
      <c r="D474" s="149"/>
    </row>
    <row r="475" spans="1:4">
      <c r="A475" s="171" t="s">
        <v>1288</v>
      </c>
      <c r="B475" s="172" t="s">
        <v>1289</v>
      </c>
      <c r="C475" s="149"/>
      <c r="D475" s="149"/>
    </row>
    <row r="476" spans="1:4">
      <c r="A476" s="171" t="s">
        <v>1290</v>
      </c>
      <c r="B476" s="172" t="s">
        <v>1291</v>
      </c>
      <c r="C476" s="149"/>
      <c r="D476" s="149"/>
    </row>
    <row r="477" spans="1:4" ht="25.5">
      <c r="A477" s="171" t="s">
        <v>1292</v>
      </c>
      <c r="B477" s="181" t="s">
        <v>1293</v>
      </c>
      <c r="C477" s="149"/>
      <c r="D477" s="149"/>
    </row>
    <row r="478" spans="1:4" ht="25.5">
      <c r="A478" s="171" t="s">
        <v>1294</v>
      </c>
      <c r="B478" s="181" t="s">
        <v>1295</v>
      </c>
      <c r="C478" s="149"/>
      <c r="D478" s="149"/>
    </row>
    <row r="479" spans="1:4">
      <c r="A479" s="171" t="s">
        <v>1296</v>
      </c>
      <c r="B479" s="181" t="s">
        <v>1297</v>
      </c>
      <c r="C479" s="149"/>
      <c r="D479" s="149"/>
    </row>
    <row r="480" spans="1:4">
      <c r="A480" s="171" t="s">
        <v>1298</v>
      </c>
      <c r="B480" s="181" t="s">
        <v>1299</v>
      </c>
      <c r="C480" s="149"/>
      <c r="D480" s="149"/>
    </row>
    <row r="481" spans="1:4">
      <c r="A481" s="171" t="s">
        <v>1300</v>
      </c>
      <c r="B481" s="181" t="s">
        <v>1301</v>
      </c>
      <c r="C481" s="149"/>
      <c r="D481" s="149"/>
    </row>
    <row r="482" spans="1:4">
      <c r="A482" s="171" t="s">
        <v>1302</v>
      </c>
      <c r="B482" s="181" t="s">
        <v>1303</v>
      </c>
      <c r="C482" s="149"/>
      <c r="D482" s="149"/>
    </row>
    <row r="483" spans="1:4">
      <c r="A483" s="171" t="s">
        <v>1304</v>
      </c>
      <c r="B483" s="172" t="s">
        <v>1305</v>
      </c>
      <c r="C483" s="149"/>
      <c r="D483" s="149"/>
    </row>
    <row r="484" spans="1:4">
      <c r="A484" s="171" t="s">
        <v>1306</v>
      </c>
      <c r="B484" s="172" t="s">
        <v>1307</v>
      </c>
      <c r="C484" s="149"/>
      <c r="D484" s="149"/>
    </row>
    <row r="485" spans="1:4">
      <c r="A485" s="171" t="s">
        <v>1308</v>
      </c>
      <c r="B485" s="172" t="s">
        <v>1309</v>
      </c>
      <c r="C485" s="149"/>
      <c r="D485" s="149"/>
    </row>
    <row r="486" spans="1:4">
      <c r="A486" s="171" t="s">
        <v>1310</v>
      </c>
      <c r="B486" s="172" t="s">
        <v>1311</v>
      </c>
      <c r="C486" s="149"/>
      <c r="D486" s="149"/>
    </row>
    <row r="487" spans="1:4">
      <c r="A487" s="171" t="s">
        <v>1312</v>
      </c>
      <c r="B487" s="172" t="s">
        <v>1313</v>
      </c>
      <c r="C487" s="149"/>
      <c r="D487" s="149"/>
    </row>
    <row r="488" spans="1:4">
      <c r="A488" s="171" t="s">
        <v>1314</v>
      </c>
      <c r="B488" s="181" t="s">
        <v>1315</v>
      </c>
      <c r="C488" s="149"/>
      <c r="D488" s="149"/>
    </row>
    <row r="489" spans="1:4">
      <c r="A489" s="171" t="s">
        <v>1316</v>
      </c>
      <c r="B489" s="181" t="s">
        <v>1317</v>
      </c>
      <c r="C489" s="149"/>
      <c r="D489" s="149"/>
    </row>
    <row r="490" spans="1:4">
      <c r="A490" s="171" t="s">
        <v>1318</v>
      </c>
      <c r="B490" s="172" t="s">
        <v>1319</v>
      </c>
      <c r="C490" s="149"/>
      <c r="D490" s="149"/>
    </row>
    <row r="491" spans="1:4">
      <c r="A491" s="171" t="s">
        <v>1320</v>
      </c>
      <c r="B491" s="172" t="s">
        <v>1321</v>
      </c>
      <c r="C491" s="149"/>
      <c r="D491" s="149"/>
    </row>
    <row r="492" spans="1:4" ht="18.75">
      <c r="A492" s="170">
        <v>11</v>
      </c>
      <c r="B492" s="177" t="s">
        <v>1322</v>
      </c>
      <c r="C492" s="169"/>
      <c r="D492" s="169"/>
    </row>
    <row r="493" spans="1:4">
      <c r="A493" s="171" t="s">
        <v>1323</v>
      </c>
      <c r="B493" s="172" t="s">
        <v>1324</v>
      </c>
      <c r="C493" s="149"/>
      <c r="D493" s="149"/>
    </row>
    <row r="494" spans="1:4">
      <c r="A494" s="171" t="s">
        <v>1325</v>
      </c>
      <c r="B494" s="172" t="s">
        <v>1326</v>
      </c>
      <c r="C494" s="149"/>
      <c r="D494" s="149"/>
    </row>
    <row r="495" spans="1:4">
      <c r="A495" s="171" t="s">
        <v>1327</v>
      </c>
      <c r="B495" s="172" t="s">
        <v>1328</v>
      </c>
      <c r="C495" s="149"/>
      <c r="D495" s="149"/>
    </row>
    <row r="496" spans="1:4">
      <c r="A496" s="171" t="s">
        <v>1329</v>
      </c>
      <c r="B496" s="172" t="s">
        <v>1330</v>
      </c>
      <c r="C496" s="149"/>
      <c r="D496" s="149"/>
    </row>
    <row r="497" spans="1:4" ht="25.5">
      <c r="A497" s="171" t="s">
        <v>1331</v>
      </c>
      <c r="B497" s="172" t="s">
        <v>1332</v>
      </c>
      <c r="C497" s="149"/>
      <c r="D497" s="149"/>
    </row>
    <row r="498" spans="1:4" ht="25.5">
      <c r="A498" s="171" t="s">
        <v>1333</v>
      </c>
      <c r="B498" s="172" t="s">
        <v>1334</v>
      </c>
      <c r="C498" s="149"/>
      <c r="D498" s="149"/>
    </row>
    <row r="499" spans="1:4" ht="25.5">
      <c r="A499" s="171" t="s">
        <v>1335</v>
      </c>
      <c r="B499" s="172" t="s">
        <v>1336</v>
      </c>
      <c r="C499" s="149"/>
      <c r="D499" s="149"/>
    </row>
    <row r="500" spans="1:4">
      <c r="A500" s="171" t="s">
        <v>1337</v>
      </c>
      <c r="B500" s="172" t="s">
        <v>1338</v>
      </c>
      <c r="C500" s="149"/>
      <c r="D500" s="149"/>
    </row>
    <row r="501" spans="1:4">
      <c r="A501" s="171" t="s">
        <v>1339</v>
      </c>
      <c r="B501" s="172" t="s">
        <v>1340</v>
      </c>
      <c r="C501" s="149"/>
      <c r="D501" s="149"/>
    </row>
    <row r="502" spans="1:4">
      <c r="A502" s="171" t="s">
        <v>1341</v>
      </c>
      <c r="B502" s="172" t="s">
        <v>1342</v>
      </c>
      <c r="C502" s="149"/>
      <c r="D502" s="149"/>
    </row>
    <row r="503" spans="1:4">
      <c r="A503" s="171" t="s">
        <v>1343</v>
      </c>
      <c r="B503" s="172" t="s">
        <v>1344</v>
      </c>
      <c r="C503" s="149"/>
      <c r="D503" s="149"/>
    </row>
    <row r="504" spans="1:4">
      <c r="A504" s="171" t="s">
        <v>1345</v>
      </c>
      <c r="B504" s="172" t="s">
        <v>1346</v>
      </c>
      <c r="C504" s="149"/>
      <c r="D504" s="149"/>
    </row>
    <row r="505" spans="1:4">
      <c r="A505" s="171" t="s">
        <v>1347</v>
      </c>
      <c r="B505" s="172" t="s">
        <v>1348</v>
      </c>
      <c r="C505" s="149"/>
      <c r="D505" s="149"/>
    </row>
    <row r="506" spans="1:4">
      <c r="A506" s="171" t="s">
        <v>1349</v>
      </c>
      <c r="B506" s="172" t="s">
        <v>1350</v>
      </c>
      <c r="C506" s="149"/>
      <c r="D506" s="149"/>
    </row>
    <row r="507" spans="1:4">
      <c r="A507" s="171" t="s">
        <v>1351</v>
      </c>
      <c r="B507" s="172" t="s">
        <v>1352</v>
      </c>
      <c r="C507" s="149"/>
      <c r="D507" s="149"/>
    </row>
    <row r="508" spans="1:4">
      <c r="A508" s="171" t="s">
        <v>1353</v>
      </c>
      <c r="B508" s="172" t="s">
        <v>1354</v>
      </c>
      <c r="C508" s="149"/>
      <c r="D508" s="149"/>
    </row>
    <row r="509" spans="1:4">
      <c r="A509" s="171" t="s">
        <v>1355</v>
      </c>
      <c r="B509" s="172" t="s">
        <v>1356</v>
      </c>
      <c r="C509" s="149"/>
      <c r="D509" s="149"/>
    </row>
    <row r="510" spans="1:4">
      <c r="A510" s="171" t="s">
        <v>1357</v>
      </c>
      <c r="B510" s="172" t="s">
        <v>1358</v>
      </c>
      <c r="C510" s="149"/>
      <c r="D510" s="149"/>
    </row>
    <row r="511" spans="1:4">
      <c r="A511" s="171" t="s">
        <v>1359</v>
      </c>
      <c r="B511" s="172" t="s">
        <v>1360</v>
      </c>
      <c r="C511" s="149"/>
      <c r="D511" s="149"/>
    </row>
    <row r="512" spans="1:4">
      <c r="A512" s="171" t="s">
        <v>1361</v>
      </c>
      <c r="B512" s="172" t="s">
        <v>1362</v>
      </c>
      <c r="C512" s="149"/>
      <c r="D512" s="149"/>
    </row>
    <row r="513" spans="1:4">
      <c r="A513" s="171" t="s">
        <v>1363</v>
      </c>
      <c r="B513" s="172" t="s">
        <v>1364</v>
      </c>
      <c r="C513" s="149"/>
      <c r="D513" s="149"/>
    </row>
    <row r="514" spans="1:4">
      <c r="A514" s="171" t="s">
        <v>1365</v>
      </c>
      <c r="B514" s="172" t="s">
        <v>1366</v>
      </c>
      <c r="C514" s="149"/>
      <c r="D514" s="149"/>
    </row>
    <row r="515" spans="1:4">
      <c r="A515" s="171" t="s">
        <v>1367</v>
      </c>
      <c r="B515" s="172" t="s">
        <v>1368</v>
      </c>
      <c r="C515" s="149"/>
      <c r="D515" s="149"/>
    </row>
    <row r="516" spans="1:4">
      <c r="A516" s="171" t="s">
        <v>1369</v>
      </c>
      <c r="B516" s="172" t="s">
        <v>1370</v>
      </c>
      <c r="C516" s="149"/>
      <c r="D516" s="149"/>
    </row>
    <row r="517" spans="1:4">
      <c r="A517" s="171" t="s">
        <v>1371</v>
      </c>
      <c r="B517" s="172" t="s">
        <v>1372</v>
      </c>
      <c r="C517" s="149"/>
      <c r="D517" s="149"/>
    </row>
    <row r="518" spans="1:4">
      <c r="A518" s="171" t="s">
        <v>1373</v>
      </c>
      <c r="B518" s="172" t="s">
        <v>1374</v>
      </c>
      <c r="C518" s="149"/>
      <c r="D518" s="149"/>
    </row>
    <row r="519" spans="1:4">
      <c r="A519" s="171" t="s">
        <v>1375</v>
      </c>
      <c r="B519" s="172" t="s">
        <v>1376</v>
      </c>
      <c r="C519" s="149"/>
      <c r="D519" s="149"/>
    </row>
    <row r="520" spans="1:4">
      <c r="A520" s="171" t="s">
        <v>1377</v>
      </c>
      <c r="B520" s="172" t="s">
        <v>1378</v>
      </c>
      <c r="C520" s="149"/>
      <c r="D520" s="149"/>
    </row>
    <row r="521" spans="1:4">
      <c r="A521" s="171" t="s">
        <v>1379</v>
      </c>
      <c r="B521" s="172" t="s">
        <v>1380</v>
      </c>
      <c r="C521" s="149"/>
      <c r="D521" s="149"/>
    </row>
    <row r="522" spans="1:4">
      <c r="A522" s="171" t="s">
        <v>1381</v>
      </c>
      <c r="B522" s="172" t="s">
        <v>1382</v>
      </c>
      <c r="C522" s="149"/>
      <c r="D522" s="149"/>
    </row>
    <row r="523" spans="1:4">
      <c r="A523" s="171" t="s">
        <v>1383</v>
      </c>
      <c r="B523" s="172" t="s">
        <v>1384</v>
      </c>
      <c r="C523" s="149"/>
      <c r="D523" s="149"/>
    </row>
    <row r="524" spans="1:4">
      <c r="A524" s="171" t="s">
        <v>1385</v>
      </c>
      <c r="B524" s="172" t="s">
        <v>1386</v>
      </c>
      <c r="C524" s="149"/>
      <c r="D524" s="149"/>
    </row>
    <row r="525" spans="1:4">
      <c r="A525" s="171" t="s">
        <v>1387</v>
      </c>
      <c r="B525" s="172" t="s">
        <v>1388</v>
      </c>
      <c r="C525" s="149"/>
      <c r="D525" s="149"/>
    </row>
    <row r="526" spans="1:4">
      <c r="A526" s="171" t="s">
        <v>1389</v>
      </c>
      <c r="B526" s="172" t="s">
        <v>1390</v>
      </c>
      <c r="C526" s="149"/>
      <c r="D526" s="149"/>
    </row>
    <row r="527" spans="1:4">
      <c r="A527" s="171" t="s">
        <v>1391</v>
      </c>
      <c r="B527" s="172" t="s">
        <v>1392</v>
      </c>
      <c r="C527" s="149"/>
      <c r="D527" s="149"/>
    </row>
    <row r="528" spans="1:4">
      <c r="A528" s="171" t="s">
        <v>1393</v>
      </c>
      <c r="B528" s="172" t="s">
        <v>1394</v>
      </c>
      <c r="C528" s="149"/>
      <c r="D528" s="149"/>
    </row>
    <row r="529" spans="1:4">
      <c r="A529" s="171" t="s">
        <v>1395</v>
      </c>
      <c r="B529" s="173" t="s">
        <v>1396</v>
      </c>
      <c r="C529" s="149"/>
      <c r="D529" s="149"/>
    </row>
    <row r="530" spans="1:4" ht="18.75">
      <c r="A530" s="170">
        <v>12</v>
      </c>
      <c r="B530" s="177" t="s">
        <v>1397</v>
      </c>
      <c r="C530" s="169"/>
      <c r="D530" s="169"/>
    </row>
    <row r="531" spans="1:4">
      <c r="A531" s="171" t="s">
        <v>1398</v>
      </c>
      <c r="B531" s="181" t="s">
        <v>1399</v>
      </c>
      <c r="C531" s="149"/>
      <c r="D531" s="149"/>
    </row>
    <row r="532" spans="1:4">
      <c r="A532" s="171" t="s">
        <v>1400</v>
      </c>
      <c r="B532" s="181" t="s">
        <v>1401</v>
      </c>
      <c r="C532" s="149"/>
      <c r="D532" s="149"/>
    </row>
    <row r="533" spans="1:4">
      <c r="A533" s="171" t="s">
        <v>1402</v>
      </c>
      <c r="B533" s="172" t="s">
        <v>1403</v>
      </c>
      <c r="C533" s="149"/>
      <c r="D533" s="149"/>
    </row>
    <row r="534" spans="1:4">
      <c r="A534" s="171" t="s">
        <v>1404</v>
      </c>
      <c r="B534" s="172" t="s">
        <v>1405</v>
      </c>
      <c r="C534" s="149"/>
      <c r="D534" s="149"/>
    </row>
    <row r="535" spans="1:4">
      <c r="A535" s="171" t="s">
        <v>1406</v>
      </c>
      <c r="B535" s="172" t="s">
        <v>1407</v>
      </c>
      <c r="C535" s="149"/>
      <c r="D535" s="149"/>
    </row>
    <row r="536" spans="1:4">
      <c r="A536" s="171" t="s">
        <v>1408</v>
      </c>
      <c r="B536" s="173" t="s">
        <v>1409</v>
      </c>
      <c r="C536" s="149"/>
      <c r="D536" s="149"/>
    </row>
    <row r="537" spans="1:4">
      <c r="A537" s="171" t="s">
        <v>1410</v>
      </c>
      <c r="B537" s="172" t="s">
        <v>1411</v>
      </c>
      <c r="C537" s="149"/>
      <c r="D537" s="149"/>
    </row>
    <row r="538" spans="1:4">
      <c r="A538" s="171" t="s">
        <v>1412</v>
      </c>
      <c r="B538" s="172" t="s">
        <v>1413</v>
      </c>
      <c r="C538" s="149"/>
      <c r="D538" s="149"/>
    </row>
    <row r="539" spans="1:4">
      <c r="A539" s="171" t="s">
        <v>1414</v>
      </c>
      <c r="B539" s="172" t="s">
        <v>1415</v>
      </c>
      <c r="C539" s="149"/>
      <c r="D539" s="149"/>
    </row>
    <row r="540" spans="1:4">
      <c r="A540" s="171" t="s">
        <v>1416</v>
      </c>
      <c r="B540" s="172" t="s">
        <v>1417</v>
      </c>
      <c r="C540" s="149"/>
      <c r="D540" s="149"/>
    </row>
    <row r="541" spans="1:4">
      <c r="A541" s="171" t="s">
        <v>1418</v>
      </c>
      <c r="B541" s="172" t="s">
        <v>1419</v>
      </c>
      <c r="C541" s="149"/>
      <c r="D541" s="149"/>
    </row>
    <row r="542" spans="1:4">
      <c r="A542" s="171" t="s">
        <v>1420</v>
      </c>
      <c r="B542" s="172" t="s">
        <v>1421</v>
      </c>
      <c r="C542" s="149"/>
      <c r="D542" s="149"/>
    </row>
    <row r="543" spans="1:4">
      <c r="A543" s="171" t="s">
        <v>1422</v>
      </c>
      <c r="B543" s="181" t="s">
        <v>1423</v>
      </c>
      <c r="C543" s="149"/>
      <c r="D543" s="149"/>
    </row>
    <row r="544" spans="1:4">
      <c r="A544" s="171" t="s">
        <v>1424</v>
      </c>
      <c r="B544" s="173" t="s">
        <v>1425</v>
      </c>
      <c r="C544" s="149"/>
      <c r="D544" s="149"/>
    </row>
    <row r="545" spans="1:4">
      <c r="A545" s="171" t="s">
        <v>1426</v>
      </c>
      <c r="B545" s="172" t="s">
        <v>1427</v>
      </c>
      <c r="C545" s="149"/>
      <c r="D545" s="149"/>
    </row>
    <row r="546" spans="1:4">
      <c r="A546" s="171" t="s">
        <v>1428</v>
      </c>
      <c r="B546" s="172" t="s">
        <v>1429</v>
      </c>
      <c r="C546" s="149"/>
      <c r="D546" s="149"/>
    </row>
    <row r="547" spans="1:4" ht="18.75">
      <c r="A547" s="170">
        <v>13</v>
      </c>
      <c r="B547" s="177" t="s">
        <v>1430</v>
      </c>
      <c r="C547" s="169"/>
      <c r="D547" s="169"/>
    </row>
    <row r="548" spans="1:4">
      <c r="A548" s="171" t="s">
        <v>1431</v>
      </c>
      <c r="B548" s="172" t="s">
        <v>1432</v>
      </c>
      <c r="C548" s="149"/>
      <c r="D548" s="149"/>
    </row>
    <row r="549" spans="1:4">
      <c r="A549" s="171" t="s">
        <v>1433</v>
      </c>
      <c r="B549" s="172" t="s">
        <v>1434</v>
      </c>
      <c r="C549" s="149"/>
      <c r="D549" s="149"/>
    </row>
    <row r="550" spans="1:4">
      <c r="A550" s="171" t="s">
        <v>1435</v>
      </c>
      <c r="B550" s="172" t="s">
        <v>1436</v>
      </c>
      <c r="C550" s="149"/>
      <c r="D550" s="149"/>
    </row>
    <row r="551" spans="1:4" ht="25.5">
      <c r="A551" s="171" t="s">
        <v>1437</v>
      </c>
      <c r="B551" s="172" t="s">
        <v>1438</v>
      </c>
      <c r="C551" s="149"/>
      <c r="D551" s="149"/>
    </row>
    <row r="552" spans="1:4" ht="25.5">
      <c r="A552" s="171" t="s">
        <v>1439</v>
      </c>
      <c r="B552" s="172" t="s">
        <v>1440</v>
      </c>
      <c r="C552" s="149"/>
      <c r="D552" s="149"/>
    </row>
    <row r="553" spans="1:4" ht="25.5">
      <c r="A553" s="171" t="s">
        <v>1441</v>
      </c>
      <c r="B553" s="172" t="s">
        <v>1442</v>
      </c>
      <c r="C553" s="149"/>
      <c r="D553" s="149"/>
    </row>
    <row r="554" spans="1:4" ht="25.5">
      <c r="A554" s="171" t="s">
        <v>1443</v>
      </c>
      <c r="B554" s="172" t="s">
        <v>1444</v>
      </c>
      <c r="C554" s="149"/>
      <c r="D554" s="149"/>
    </row>
    <row r="555" spans="1:4">
      <c r="A555" s="171" t="s">
        <v>1445</v>
      </c>
      <c r="B555" s="172" t="s">
        <v>1446</v>
      </c>
      <c r="C555" s="149"/>
      <c r="D555" s="149"/>
    </row>
    <row r="556" spans="1:4">
      <c r="A556" s="171" t="s">
        <v>1447</v>
      </c>
      <c r="B556" s="172" t="s">
        <v>1448</v>
      </c>
      <c r="C556" s="149"/>
      <c r="D556" s="149"/>
    </row>
    <row r="557" spans="1:4">
      <c r="A557" s="171" t="s">
        <v>1449</v>
      </c>
      <c r="B557" s="172" t="s">
        <v>1450</v>
      </c>
      <c r="C557" s="149"/>
      <c r="D557" s="149"/>
    </row>
    <row r="558" spans="1:4">
      <c r="A558" s="171" t="s">
        <v>1451</v>
      </c>
      <c r="B558" s="172" t="s">
        <v>1452</v>
      </c>
      <c r="C558" s="149"/>
      <c r="D558" s="149"/>
    </row>
    <row r="559" spans="1:4">
      <c r="A559" s="171" t="s">
        <v>1453</v>
      </c>
      <c r="B559" s="172" t="s">
        <v>1454</v>
      </c>
      <c r="C559" s="149"/>
      <c r="D559" s="149"/>
    </row>
    <row r="560" spans="1:4">
      <c r="A560" s="176" t="s">
        <v>1455</v>
      </c>
      <c r="B560" s="181" t="s">
        <v>1456</v>
      </c>
      <c r="C560" s="149"/>
      <c r="D560" s="149"/>
    </row>
    <row r="561" spans="1:4">
      <c r="A561" s="176" t="s">
        <v>1457</v>
      </c>
      <c r="B561" s="181" t="s">
        <v>1458</v>
      </c>
      <c r="C561" s="149"/>
      <c r="D561" s="149"/>
    </row>
    <row r="562" spans="1:4">
      <c r="A562" s="171" t="s">
        <v>1459</v>
      </c>
      <c r="B562" s="172" t="s">
        <v>1460</v>
      </c>
      <c r="C562" s="149"/>
      <c r="D562" s="149"/>
    </row>
    <row r="563" spans="1:4">
      <c r="A563" s="171" t="s">
        <v>1461</v>
      </c>
      <c r="B563" s="172" t="s">
        <v>1462</v>
      </c>
      <c r="C563" s="149"/>
      <c r="D563" s="149"/>
    </row>
    <row r="564" spans="1:4">
      <c r="A564" s="171" t="s">
        <v>1463</v>
      </c>
      <c r="B564" s="172" t="s">
        <v>1464</v>
      </c>
      <c r="C564" s="149"/>
      <c r="D564" s="149"/>
    </row>
    <row r="565" spans="1:4">
      <c r="A565" s="171" t="s">
        <v>1465</v>
      </c>
      <c r="B565" s="181" t="s">
        <v>1466</v>
      </c>
      <c r="C565" s="149"/>
      <c r="D565" s="149"/>
    </row>
    <row r="566" spans="1:4" ht="18.75">
      <c r="A566" s="170">
        <v>14</v>
      </c>
      <c r="B566" s="177" t="s">
        <v>1467</v>
      </c>
      <c r="C566" s="169"/>
      <c r="D566" s="169"/>
    </row>
    <row r="567" spans="1:4">
      <c r="A567" s="171" t="s">
        <v>1468</v>
      </c>
      <c r="B567" s="172" t="s">
        <v>1469</v>
      </c>
      <c r="C567" s="149"/>
      <c r="D567" s="149"/>
    </row>
    <row r="568" spans="1:4">
      <c r="A568" s="171" t="s">
        <v>1470</v>
      </c>
      <c r="B568" s="172" t="s">
        <v>1471</v>
      </c>
      <c r="C568" s="149"/>
      <c r="D568" s="149"/>
    </row>
    <row r="569" spans="1:4">
      <c r="A569" s="171" t="s">
        <v>1472</v>
      </c>
      <c r="B569" s="172" t="s">
        <v>1473</v>
      </c>
      <c r="C569" s="149"/>
      <c r="D569" s="149"/>
    </row>
    <row r="570" spans="1:4">
      <c r="A570" s="171" t="s">
        <v>1474</v>
      </c>
      <c r="B570" s="172" t="s">
        <v>1475</v>
      </c>
      <c r="C570" s="149"/>
      <c r="D570" s="149"/>
    </row>
    <row r="571" spans="1:4">
      <c r="A571" s="171" t="s">
        <v>1476</v>
      </c>
      <c r="B571" s="181" t="s">
        <v>1477</v>
      </c>
      <c r="C571" s="149"/>
      <c r="D571" s="149"/>
    </row>
    <row r="572" spans="1:4">
      <c r="A572" s="171" t="s">
        <v>1478</v>
      </c>
      <c r="B572" s="181" t="s">
        <v>1479</v>
      </c>
      <c r="C572" s="149"/>
      <c r="D572" s="149"/>
    </row>
    <row r="573" spans="1:4" ht="25.5">
      <c r="A573" s="171" t="s">
        <v>1480</v>
      </c>
      <c r="B573" s="181" t="s">
        <v>1481</v>
      </c>
      <c r="C573" s="149"/>
      <c r="D573" s="149"/>
    </row>
    <row r="574" spans="1:4" ht="25.5">
      <c r="A574" s="171" t="s">
        <v>1482</v>
      </c>
      <c r="B574" s="181" t="s">
        <v>1483</v>
      </c>
      <c r="C574" s="149"/>
      <c r="D574" s="149"/>
    </row>
    <row r="575" spans="1:4">
      <c r="A575" s="171" t="s">
        <v>1484</v>
      </c>
      <c r="B575" s="172" t="s">
        <v>1485</v>
      </c>
      <c r="C575" s="149"/>
      <c r="D575" s="149"/>
    </row>
    <row r="576" spans="1:4">
      <c r="A576" s="182" t="s">
        <v>1486</v>
      </c>
      <c r="B576" s="183" t="s">
        <v>1487</v>
      </c>
      <c r="C576" s="149"/>
      <c r="D576" s="149"/>
    </row>
    <row r="577" spans="1:4">
      <c r="A577" s="182" t="s">
        <v>1488</v>
      </c>
      <c r="B577" s="183" t="s">
        <v>1489</v>
      </c>
      <c r="C577" s="149"/>
      <c r="D577" s="149"/>
    </row>
    <row r="578" spans="1:4">
      <c r="A578" s="182" t="s">
        <v>1490</v>
      </c>
      <c r="B578" s="183" t="s">
        <v>1491</v>
      </c>
      <c r="C578" s="149"/>
      <c r="D578" s="149"/>
    </row>
    <row r="579" spans="1:4">
      <c r="A579" s="182" t="s">
        <v>1492</v>
      </c>
      <c r="B579" s="183" t="s">
        <v>1493</v>
      </c>
      <c r="C579" s="149"/>
      <c r="D579" s="149"/>
    </row>
    <row r="580" spans="1:4">
      <c r="A580" s="182" t="s">
        <v>1494</v>
      </c>
      <c r="B580" s="183" t="s">
        <v>1495</v>
      </c>
      <c r="C580" s="149"/>
      <c r="D580" s="149"/>
    </row>
    <row r="581" spans="1:4" ht="18.75">
      <c r="A581" s="170">
        <v>15</v>
      </c>
      <c r="B581" s="177" t="s">
        <v>1496</v>
      </c>
      <c r="C581" s="169"/>
      <c r="D581" s="169"/>
    </row>
    <row r="582" spans="1:4" ht="25.5">
      <c r="A582" s="171" t="s">
        <v>1497</v>
      </c>
      <c r="B582" s="172" t="s">
        <v>1498</v>
      </c>
      <c r="C582" s="149"/>
      <c r="D582" s="149"/>
    </row>
    <row r="583" spans="1:4">
      <c r="A583" s="171" t="s">
        <v>1499</v>
      </c>
      <c r="B583" s="172" t="s">
        <v>1500</v>
      </c>
      <c r="C583" s="149"/>
      <c r="D583" s="149"/>
    </row>
    <row r="584" spans="1:4">
      <c r="A584" s="171" t="s">
        <v>1501</v>
      </c>
      <c r="B584" s="172" t="s">
        <v>1502</v>
      </c>
      <c r="C584" s="149"/>
      <c r="D584" s="149"/>
    </row>
    <row r="585" spans="1:4">
      <c r="A585" s="171" t="s">
        <v>1503</v>
      </c>
      <c r="B585" s="172" t="s">
        <v>1504</v>
      </c>
      <c r="C585" s="149"/>
      <c r="D585" s="149"/>
    </row>
    <row r="586" spans="1:4">
      <c r="A586" s="171" t="s">
        <v>1505</v>
      </c>
      <c r="B586" s="172" t="s">
        <v>1506</v>
      </c>
      <c r="C586" s="149"/>
      <c r="D586" s="149"/>
    </row>
    <row r="587" spans="1:4" ht="25.5">
      <c r="A587" s="171" t="s">
        <v>1507</v>
      </c>
      <c r="B587" s="172" t="s">
        <v>1508</v>
      </c>
      <c r="C587" s="149"/>
      <c r="D587" s="149"/>
    </row>
    <row r="588" spans="1:4" ht="25.5">
      <c r="A588" s="171" t="s">
        <v>1509</v>
      </c>
      <c r="B588" s="172" t="s">
        <v>1510</v>
      </c>
      <c r="C588" s="149"/>
      <c r="D588" s="149"/>
    </row>
    <row r="589" spans="1:4" ht="25.5">
      <c r="A589" s="171" t="s">
        <v>1511</v>
      </c>
      <c r="B589" s="172" t="s">
        <v>1512</v>
      </c>
      <c r="C589" s="149"/>
      <c r="D589" s="149"/>
    </row>
    <row r="590" spans="1:4" ht="25.5">
      <c r="A590" s="171" t="s">
        <v>1513</v>
      </c>
      <c r="B590" s="172" t="s">
        <v>1514</v>
      </c>
      <c r="C590" s="149"/>
      <c r="D590" s="149"/>
    </row>
    <row r="591" spans="1:4">
      <c r="A591" s="171" t="s">
        <v>1515</v>
      </c>
      <c r="B591" s="172" t="s">
        <v>1516</v>
      </c>
      <c r="C591" s="149"/>
      <c r="D591" s="149"/>
    </row>
    <row r="592" spans="1:4">
      <c r="A592" s="171" t="s">
        <v>1517</v>
      </c>
      <c r="B592" s="172" t="s">
        <v>1518</v>
      </c>
      <c r="C592" s="149"/>
      <c r="D592" s="149"/>
    </row>
    <row r="593" spans="1:4">
      <c r="A593" s="171" t="s">
        <v>1519</v>
      </c>
      <c r="B593" s="172" t="s">
        <v>1520</v>
      </c>
      <c r="C593" s="149"/>
      <c r="D593" s="149"/>
    </row>
    <row r="594" spans="1:4">
      <c r="A594" s="171" t="s">
        <v>1521</v>
      </c>
      <c r="B594" s="172" t="s">
        <v>1522</v>
      </c>
      <c r="C594" s="149"/>
      <c r="D594" s="149"/>
    </row>
    <row r="595" spans="1:4" ht="25.5">
      <c r="A595" s="171" t="s">
        <v>1523</v>
      </c>
      <c r="B595" s="172" t="s">
        <v>1524</v>
      </c>
      <c r="C595" s="149"/>
      <c r="D595" s="149"/>
    </row>
    <row r="596" spans="1:4" ht="25.5">
      <c r="A596" s="171" t="s">
        <v>1525</v>
      </c>
      <c r="B596" s="172" t="s">
        <v>1526</v>
      </c>
      <c r="C596" s="149"/>
      <c r="D596" s="149"/>
    </row>
    <row r="597" spans="1:4" ht="25.5">
      <c r="A597" s="171" t="s">
        <v>1527</v>
      </c>
      <c r="B597" s="172" t="s">
        <v>1528</v>
      </c>
      <c r="C597" s="149"/>
      <c r="D597" s="149"/>
    </row>
    <row r="598" spans="1:4" ht="25.5">
      <c r="A598" s="171" t="s">
        <v>1529</v>
      </c>
      <c r="B598" s="172" t="s">
        <v>1530</v>
      </c>
      <c r="C598" s="149"/>
      <c r="D598" s="149"/>
    </row>
    <row r="599" spans="1:4" ht="25.5">
      <c r="A599" s="171" t="s">
        <v>1531</v>
      </c>
      <c r="B599" s="172" t="s">
        <v>1532</v>
      </c>
      <c r="C599" s="149"/>
      <c r="D599" s="149"/>
    </row>
    <row r="600" spans="1:4" ht="25.5">
      <c r="A600" s="171" t="s">
        <v>1533</v>
      </c>
      <c r="B600" s="172" t="s">
        <v>1534</v>
      </c>
      <c r="C600" s="149"/>
      <c r="D600" s="149"/>
    </row>
    <row r="601" spans="1:4" ht="25.5">
      <c r="A601" s="171" t="s">
        <v>1535</v>
      </c>
      <c r="B601" s="172" t="s">
        <v>1536</v>
      </c>
      <c r="C601" s="149"/>
      <c r="D601" s="149"/>
    </row>
    <row r="602" spans="1:4" ht="25.5">
      <c r="A602" s="171" t="s">
        <v>1537</v>
      </c>
      <c r="B602" s="172" t="s">
        <v>1538</v>
      </c>
      <c r="C602" s="149"/>
      <c r="D602" s="149"/>
    </row>
    <row r="603" spans="1:4" ht="25.5">
      <c r="A603" s="171" t="s">
        <v>1539</v>
      </c>
      <c r="B603" s="172" t="s">
        <v>1540</v>
      </c>
      <c r="C603" s="149"/>
      <c r="D603" s="149"/>
    </row>
    <row r="604" spans="1:4" ht="25.5">
      <c r="A604" s="171" t="s">
        <v>1541</v>
      </c>
      <c r="B604" s="172" t="s">
        <v>1542</v>
      </c>
      <c r="C604" s="149"/>
      <c r="D604" s="149"/>
    </row>
    <row r="605" spans="1:4" ht="25.5">
      <c r="A605" s="171" t="s">
        <v>1543</v>
      </c>
      <c r="B605" s="172" t="s">
        <v>1544</v>
      </c>
      <c r="C605" s="149"/>
      <c r="D605" s="149"/>
    </row>
    <row r="606" spans="1:4" ht="25.5">
      <c r="A606" s="171" t="s">
        <v>1545</v>
      </c>
      <c r="B606" s="172" t="s">
        <v>1546</v>
      </c>
      <c r="C606" s="149"/>
      <c r="D606" s="149"/>
    </row>
    <row r="607" spans="1:4" ht="37.5">
      <c r="A607" s="170">
        <v>16</v>
      </c>
      <c r="B607" s="177" t="s">
        <v>1547</v>
      </c>
      <c r="C607" s="169"/>
      <c r="D607" s="169"/>
    </row>
    <row r="608" spans="1:4">
      <c r="A608" s="171" t="s">
        <v>1548</v>
      </c>
      <c r="B608" s="172" t="s">
        <v>1549</v>
      </c>
      <c r="C608" s="149"/>
      <c r="D608" s="149"/>
    </row>
    <row r="609" spans="1:4" ht="25.5">
      <c r="A609" s="171" t="s">
        <v>1550</v>
      </c>
      <c r="B609" s="172" t="s">
        <v>1551</v>
      </c>
      <c r="C609" s="149"/>
      <c r="D609" s="149"/>
    </row>
    <row r="610" spans="1:4" ht="25.5">
      <c r="A610" s="171" t="s">
        <v>1552</v>
      </c>
      <c r="B610" s="172" t="s">
        <v>1553</v>
      </c>
      <c r="C610" s="149"/>
      <c r="D610" s="149"/>
    </row>
    <row r="611" spans="1:4">
      <c r="A611" s="171" t="s">
        <v>1554</v>
      </c>
      <c r="B611" s="172" t="s">
        <v>1555</v>
      </c>
      <c r="C611" s="149"/>
      <c r="D611" s="149"/>
    </row>
    <row r="612" spans="1:4" ht="25.5">
      <c r="A612" s="171" t="s">
        <v>1556</v>
      </c>
      <c r="B612" s="172" t="s">
        <v>1557</v>
      </c>
      <c r="C612" s="149"/>
      <c r="D612" s="149"/>
    </row>
    <row r="613" spans="1:4" ht="25.5">
      <c r="A613" s="171" t="s">
        <v>1558</v>
      </c>
      <c r="B613" s="172" t="s">
        <v>1559</v>
      </c>
      <c r="C613" s="149"/>
      <c r="D613" s="149"/>
    </row>
    <row r="614" spans="1:4">
      <c r="A614" s="171" t="s">
        <v>1560</v>
      </c>
      <c r="B614" s="172" t="s">
        <v>1561</v>
      </c>
      <c r="C614" s="149"/>
      <c r="D614" s="149"/>
    </row>
    <row r="615" spans="1:4">
      <c r="A615" s="171" t="s">
        <v>1562</v>
      </c>
      <c r="B615" s="172" t="s">
        <v>1563</v>
      </c>
      <c r="C615" s="149"/>
      <c r="D615" s="149"/>
    </row>
    <row r="616" spans="1:4">
      <c r="A616" s="171" t="s">
        <v>1564</v>
      </c>
      <c r="B616" s="172" t="s">
        <v>1565</v>
      </c>
      <c r="C616" s="149"/>
      <c r="D616" s="149"/>
    </row>
    <row r="617" spans="1:4" ht="23.25">
      <c r="A617" s="184">
        <v>17</v>
      </c>
      <c r="B617" s="177" t="s">
        <v>1566</v>
      </c>
      <c r="C617" s="169"/>
      <c r="D617" s="169"/>
    </row>
    <row r="618" spans="1:4">
      <c r="A618" s="171" t="s">
        <v>1567</v>
      </c>
      <c r="B618" s="173" t="s">
        <v>1568</v>
      </c>
      <c r="C618" s="149"/>
      <c r="D618" s="149"/>
    </row>
    <row r="619" spans="1:4">
      <c r="A619" s="171" t="s">
        <v>1569</v>
      </c>
      <c r="B619" s="172" t="s">
        <v>1570</v>
      </c>
      <c r="C619" s="149"/>
      <c r="D619" s="149"/>
    </row>
    <row r="620" spans="1:4">
      <c r="A620" s="171" t="s">
        <v>1571</v>
      </c>
      <c r="B620" s="172" t="s">
        <v>1572</v>
      </c>
      <c r="C620" s="149"/>
      <c r="D620" s="149"/>
    </row>
    <row r="621" spans="1:4" ht="25.5">
      <c r="A621" s="171" t="s">
        <v>1573</v>
      </c>
      <c r="B621" s="172" t="s">
        <v>1574</v>
      </c>
      <c r="C621" s="149"/>
      <c r="D621" s="149"/>
    </row>
    <row r="622" spans="1:4">
      <c r="A622" s="171" t="s">
        <v>1575</v>
      </c>
      <c r="B622" s="172" t="s">
        <v>1576</v>
      </c>
      <c r="C622" s="149"/>
      <c r="D622" s="149"/>
    </row>
    <row r="623" spans="1:4">
      <c r="A623" s="171" t="s">
        <v>1577</v>
      </c>
      <c r="B623" s="172" t="s">
        <v>1578</v>
      </c>
      <c r="C623" s="149"/>
      <c r="D623" s="149"/>
    </row>
    <row r="624" spans="1:4">
      <c r="A624" s="171" t="s">
        <v>1579</v>
      </c>
      <c r="B624" s="172" t="s">
        <v>1580</v>
      </c>
      <c r="C624" s="149"/>
      <c r="D624" s="149"/>
    </row>
    <row r="625" spans="1:4" ht="25.5">
      <c r="A625" s="171" t="s">
        <v>1581</v>
      </c>
      <c r="B625" s="172" t="s">
        <v>1582</v>
      </c>
      <c r="C625" s="149"/>
      <c r="D625" s="149"/>
    </row>
    <row r="626" spans="1:4" ht="25.5">
      <c r="A626" s="171" t="s">
        <v>1583</v>
      </c>
      <c r="B626" s="172" t="s">
        <v>1584</v>
      </c>
      <c r="C626" s="149"/>
      <c r="D626" s="149"/>
    </row>
    <row r="627" spans="1:4">
      <c r="A627" s="171" t="s">
        <v>1585</v>
      </c>
      <c r="B627" s="172" t="s">
        <v>1586</v>
      </c>
      <c r="C627" s="149"/>
      <c r="D627" s="149"/>
    </row>
    <row r="628" spans="1:4">
      <c r="A628" s="171" t="s">
        <v>1587</v>
      </c>
      <c r="B628" s="172" t="s">
        <v>1588</v>
      </c>
      <c r="C628" s="149"/>
      <c r="D628" s="149"/>
    </row>
    <row r="629" spans="1:4">
      <c r="A629" s="171" t="s">
        <v>1589</v>
      </c>
      <c r="B629" s="172" t="s">
        <v>1590</v>
      </c>
      <c r="C629" s="149"/>
      <c r="D629" s="149"/>
    </row>
    <row r="630" spans="1:4">
      <c r="A630" s="171" t="s">
        <v>1591</v>
      </c>
      <c r="B630" s="172" t="s">
        <v>1592</v>
      </c>
      <c r="C630" s="149"/>
      <c r="D630" s="149"/>
    </row>
    <row r="631" spans="1:4">
      <c r="A631" s="171" t="s">
        <v>1593</v>
      </c>
      <c r="B631" s="172" t="s">
        <v>1594</v>
      </c>
      <c r="C631" s="149"/>
      <c r="D631" s="149"/>
    </row>
    <row r="632" spans="1:4">
      <c r="A632" s="171" t="s">
        <v>1595</v>
      </c>
      <c r="B632" s="172" t="s">
        <v>1596</v>
      </c>
      <c r="C632" s="149"/>
      <c r="D632" s="149"/>
    </row>
    <row r="633" spans="1:4">
      <c r="A633" s="171" t="s">
        <v>1597</v>
      </c>
      <c r="B633" s="172" t="s">
        <v>1598</v>
      </c>
      <c r="C633" s="149"/>
      <c r="D633" s="149"/>
    </row>
    <row r="634" spans="1:4">
      <c r="A634" s="171" t="s">
        <v>1599</v>
      </c>
      <c r="B634" s="172" t="s">
        <v>1600</v>
      </c>
      <c r="C634" s="149"/>
      <c r="D634" s="149"/>
    </row>
    <row r="635" spans="1:4">
      <c r="A635" s="171" t="s">
        <v>1601</v>
      </c>
      <c r="B635" s="172" t="s">
        <v>1602</v>
      </c>
      <c r="C635" s="149"/>
      <c r="D635" s="149"/>
    </row>
    <row r="636" spans="1:4" ht="18.75">
      <c r="A636" s="170">
        <v>18</v>
      </c>
      <c r="B636" s="177" t="s">
        <v>1603</v>
      </c>
      <c r="C636" s="169"/>
      <c r="D636" s="169"/>
    </row>
    <row r="637" spans="1:4">
      <c r="A637" s="171" t="s">
        <v>1604</v>
      </c>
      <c r="B637" s="172" t="s">
        <v>1605</v>
      </c>
      <c r="C637" s="149"/>
      <c r="D637" s="149"/>
    </row>
    <row r="638" spans="1:4">
      <c r="A638" s="171" t="s">
        <v>1606</v>
      </c>
      <c r="B638" s="172" t="s">
        <v>1607</v>
      </c>
      <c r="C638" s="149"/>
      <c r="D638" s="149"/>
    </row>
    <row r="639" spans="1:4">
      <c r="A639" s="171" t="s">
        <v>1608</v>
      </c>
      <c r="B639" s="172" t="s">
        <v>1609</v>
      </c>
      <c r="C639" s="149"/>
      <c r="D639" s="149"/>
    </row>
    <row r="640" spans="1:4">
      <c r="A640" s="171" t="s">
        <v>1610</v>
      </c>
      <c r="B640" s="172" t="s">
        <v>1611</v>
      </c>
      <c r="C640" s="149"/>
      <c r="D640" s="149"/>
    </row>
    <row r="641" spans="1:4">
      <c r="A641" s="171" t="s">
        <v>1612</v>
      </c>
      <c r="B641" s="172" t="s">
        <v>1613</v>
      </c>
      <c r="C641" s="149"/>
      <c r="D641" s="149"/>
    </row>
    <row r="642" spans="1:4">
      <c r="A642" s="171" t="s">
        <v>1614</v>
      </c>
      <c r="B642" s="172" t="s">
        <v>1615</v>
      </c>
      <c r="C642" s="149"/>
      <c r="D642" s="149"/>
    </row>
    <row r="643" spans="1:4">
      <c r="A643" s="171" t="s">
        <v>1616</v>
      </c>
      <c r="B643" s="172" t="s">
        <v>1617</v>
      </c>
      <c r="C643" s="149"/>
      <c r="D643" s="149"/>
    </row>
    <row r="644" spans="1:4">
      <c r="A644" s="171" t="s">
        <v>1618</v>
      </c>
      <c r="B644" s="172" t="s">
        <v>1619</v>
      </c>
      <c r="C644" s="149"/>
      <c r="D644" s="149"/>
    </row>
    <row r="645" spans="1:4">
      <c r="A645" s="171" t="s">
        <v>1620</v>
      </c>
      <c r="B645" s="172" t="s">
        <v>1621</v>
      </c>
      <c r="C645" s="149"/>
      <c r="D645" s="149"/>
    </row>
    <row r="646" spans="1:4">
      <c r="A646" s="171" t="s">
        <v>1622</v>
      </c>
      <c r="B646" s="172" t="s">
        <v>1623</v>
      </c>
      <c r="C646" s="149"/>
      <c r="D646" s="149"/>
    </row>
    <row r="647" spans="1:4" ht="25.5">
      <c r="A647" s="171" t="s">
        <v>1624</v>
      </c>
      <c r="B647" s="172" t="s">
        <v>1625</v>
      </c>
      <c r="C647" s="149"/>
      <c r="D647" s="149"/>
    </row>
    <row r="648" spans="1:4" ht="25.5">
      <c r="A648" s="171" t="s">
        <v>1626</v>
      </c>
      <c r="B648" s="172" t="s">
        <v>1627</v>
      </c>
      <c r="C648" s="149"/>
      <c r="D648" s="149"/>
    </row>
    <row r="649" spans="1:4">
      <c r="A649" s="171" t="s">
        <v>1628</v>
      </c>
      <c r="B649" s="172" t="s">
        <v>1629</v>
      </c>
      <c r="C649" s="149"/>
      <c r="D649" s="149"/>
    </row>
    <row r="650" spans="1:4">
      <c r="A650" s="171" t="s">
        <v>1630</v>
      </c>
      <c r="B650" s="172" t="s">
        <v>1631</v>
      </c>
      <c r="C650" s="149"/>
      <c r="D650" s="149"/>
    </row>
    <row r="651" spans="1:4">
      <c r="A651" s="171" t="s">
        <v>1632</v>
      </c>
      <c r="B651" s="172" t="s">
        <v>1633</v>
      </c>
      <c r="C651" s="149"/>
      <c r="D651" s="149"/>
    </row>
    <row r="652" spans="1:4">
      <c r="A652" s="171" t="s">
        <v>1634</v>
      </c>
      <c r="B652" s="172" t="s">
        <v>1635</v>
      </c>
      <c r="C652" s="149"/>
      <c r="D652" s="149"/>
    </row>
    <row r="653" spans="1:4">
      <c r="A653" s="171" t="s">
        <v>1636</v>
      </c>
      <c r="B653" s="172" t="s">
        <v>1637</v>
      </c>
      <c r="C653" s="149"/>
      <c r="D653" s="149"/>
    </row>
    <row r="654" spans="1:4">
      <c r="A654" s="171" t="s">
        <v>1638</v>
      </c>
      <c r="B654" s="172" t="s">
        <v>1639</v>
      </c>
      <c r="C654" s="149"/>
      <c r="D654" s="149"/>
    </row>
    <row r="655" spans="1:4" ht="18.75">
      <c r="A655" s="170">
        <v>19</v>
      </c>
      <c r="B655" s="177" t="s">
        <v>1640</v>
      </c>
      <c r="C655" s="169"/>
      <c r="D655" s="169"/>
    </row>
    <row r="656" spans="1:4">
      <c r="A656" s="171" t="s">
        <v>1641</v>
      </c>
      <c r="B656" s="183" t="s">
        <v>1642</v>
      </c>
      <c r="C656" s="149"/>
      <c r="D656" s="149"/>
    </row>
    <row r="657" spans="1:4">
      <c r="A657" s="171" t="s">
        <v>1643</v>
      </c>
      <c r="B657" s="183" t="s">
        <v>1644</v>
      </c>
      <c r="C657" s="149"/>
      <c r="D657" s="149"/>
    </row>
    <row r="658" spans="1:4">
      <c r="A658" s="171" t="s">
        <v>1645</v>
      </c>
      <c r="B658" s="183" t="s">
        <v>1646</v>
      </c>
      <c r="C658" s="149"/>
      <c r="D658" s="149"/>
    </row>
    <row r="659" spans="1:4">
      <c r="A659" s="171" t="s">
        <v>1647</v>
      </c>
      <c r="B659" s="183" t="s">
        <v>1648</v>
      </c>
      <c r="C659" s="149"/>
      <c r="D659" s="149"/>
    </row>
    <row r="660" spans="1:4" ht="25.5">
      <c r="A660" s="171" t="s">
        <v>1649</v>
      </c>
      <c r="B660" s="183" t="s">
        <v>1650</v>
      </c>
      <c r="C660" s="149"/>
      <c r="D660" s="149"/>
    </row>
    <row r="661" spans="1:4">
      <c r="A661" s="171" t="s">
        <v>1651</v>
      </c>
      <c r="B661" s="183" t="s">
        <v>1652</v>
      </c>
      <c r="C661" s="149"/>
      <c r="D661" s="149"/>
    </row>
    <row r="662" spans="1:4">
      <c r="A662" s="171" t="s">
        <v>1653</v>
      </c>
      <c r="B662" s="183" t="s">
        <v>1654</v>
      </c>
      <c r="C662" s="149"/>
      <c r="D662" s="149"/>
    </row>
    <row r="663" spans="1:4">
      <c r="A663" s="171" t="s">
        <v>1655</v>
      </c>
      <c r="B663" s="183" t="s">
        <v>1656</v>
      </c>
      <c r="C663" s="149"/>
      <c r="D663" s="149"/>
    </row>
    <row r="664" spans="1:4">
      <c r="A664" s="171" t="s">
        <v>1657</v>
      </c>
      <c r="B664" s="183" t="s">
        <v>1658</v>
      </c>
      <c r="C664" s="149"/>
      <c r="D664" s="149"/>
    </row>
    <row r="665" spans="1:4">
      <c r="A665" s="171" t="s">
        <v>1659</v>
      </c>
      <c r="B665" s="183" t="s">
        <v>1660</v>
      </c>
      <c r="C665" s="149"/>
      <c r="D665" s="149"/>
    </row>
    <row r="666" spans="1:4">
      <c r="A666" s="171" t="s">
        <v>1661</v>
      </c>
      <c r="B666" s="183" t="s">
        <v>1662</v>
      </c>
      <c r="C666" s="149"/>
      <c r="D666" s="149"/>
    </row>
    <row r="667" spans="1:4" ht="37.5">
      <c r="A667" s="170">
        <v>20</v>
      </c>
      <c r="B667" s="177" t="s">
        <v>1663</v>
      </c>
      <c r="C667" s="169"/>
      <c r="D667" s="169"/>
    </row>
    <row r="668" spans="1:4">
      <c r="A668" s="171" t="s">
        <v>1664</v>
      </c>
      <c r="B668" s="172" t="s">
        <v>1665</v>
      </c>
      <c r="C668" s="149"/>
      <c r="D668" s="149"/>
    </row>
    <row r="669" spans="1:4">
      <c r="A669" s="171" t="s">
        <v>1666</v>
      </c>
      <c r="B669" s="172" t="s">
        <v>1667</v>
      </c>
      <c r="C669" s="149"/>
      <c r="D669" s="149"/>
    </row>
    <row r="670" spans="1:4">
      <c r="A670" s="171" t="s">
        <v>1668</v>
      </c>
      <c r="B670" s="172" t="s">
        <v>1669</v>
      </c>
      <c r="C670" s="149"/>
      <c r="D670" s="149"/>
    </row>
    <row r="671" spans="1:4">
      <c r="A671" s="171" t="s">
        <v>1670</v>
      </c>
      <c r="B671" s="172" t="s">
        <v>1671</v>
      </c>
      <c r="C671" s="149"/>
      <c r="D671" s="149"/>
    </row>
    <row r="672" spans="1:4">
      <c r="A672" s="171" t="s">
        <v>1672</v>
      </c>
      <c r="B672" s="172" t="s">
        <v>1673</v>
      </c>
      <c r="C672" s="149"/>
      <c r="D672" s="149"/>
    </row>
    <row r="673" spans="1:4">
      <c r="A673" s="171" t="s">
        <v>1674</v>
      </c>
      <c r="B673" s="172" t="s">
        <v>1675</v>
      </c>
      <c r="C673" s="149"/>
      <c r="D673" s="149"/>
    </row>
    <row r="674" spans="1:4" ht="18.75">
      <c r="A674" s="170">
        <v>21</v>
      </c>
      <c r="B674" s="177" t="s">
        <v>1676</v>
      </c>
      <c r="C674" s="169"/>
      <c r="D674" s="169"/>
    </row>
    <row r="675" spans="1:4">
      <c r="A675" s="171" t="s">
        <v>1677</v>
      </c>
      <c r="B675" s="172" t="s">
        <v>1678</v>
      </c>
      <c r="C675" s="149"/>
      <c r="D675" s="149"/>
    </row>
    <row r="676" spans="1:4" ht="25.5">
      <c r="A676" s="171" t="s">
        <v>1679</v>
      </c>
      <c r="B676" s="172" t="s">
        <v>1680</v>
      </c>
      <c r="C676" s="149"/>
      <c r="D676" s="149"/>
    </row>
    <row r="677" spans="1:4" ht="25.5">
      <c r="A677" s="171" t="s">
        <v>1681</v>
      </c>
      <c r="B677" s="172" t="s">
        <v>1682</v>
      </c>
      <c r="C677" s="149"/>
      <c r="D677" s="149"/>
    </row>
    <row r="678" spans="1:4">
      <c r="A678" s="171" t="s">
        <v>1683</v>
      </c>
      <c r="B678" s="172" t="s">
        <v>1684</v>
      </c>
      <c r="C678" s="149"/>
      <c r="D678" s="149"/>
    </row>
    <row r="679" spans="1:4">
      <c r="A679" s="171" t="s">
        <v>1685</v>
      </c>
      <c r="B679" s="181" t="s">
        <v>1686</v>
      </c>
      <c r="C679" s="149"/>
      <c r="D679" s="149"/>
    </row>
    <row r="680" spans="1:4">
      <c r="A680" s="171" t="s">
        <v>1687</v>
      </c>
      <c r="B680" s="181" t="s">
        <v>1688</v>
      </c>
      <c r="C680" s="149"/>
      <c r="D680" s="149"/>
    </row>
    <row r="681" spans="1:4">
      <c r="A681" s="171" t="s">
        <v>1689</v>
      </c>
      <c r="B681" s="172" t="s">
        <v>1690</v>
      </c>
      <c r="C681" s="149"/>
      <c r="D681" s="149"/>
    </row>
    <row r="682" spans="1:4">
      <c r="A682" s="171" t="s">
        <v>1691</v>
      </c>
      <c r="B682" s="181" t="s">
        <v>1692</v>
      </c>
      <c r="C682" s="149"/>
      <c r="D682" s="149"/>
    </row>
    <row r="683" spans="1:4">
      <c r="A683" s="171" t="s">
        <v>1693</v>
      </c>
      <c r="B683" s="181" t="s">
        <v>1694</v>
      </c>
      <c r="C683" s="149"/>
      <c r="D683" s="149"/>
    </row>
    <row r="684" spans="1:4" ht="25.5">
      <c r="A684" s="171" t="s">
        <v>1695</v>
      </c>
      <c r="B684" s="181" t="s">
        <v>1696</v>
      </c>
      <c r="C684" s="149"/>
      <c r="D684" s="149"/>
    </row>
    <row r="685" spans="1:4">
      <c r="A685" s="171" t="s">
        <v>1697</v>
      </c>
      <c r="B685" s="173" t="s">
        <v>1698</v>
      </c>
      <c r="C685" s="149"/>
      <c r="D685" s="149"/>
    </row>
    <row r="686" spans="1:4">
      <c r="A686" s="171" t="s">
        <v>1699</v>
      </c>
      <c r="B686" s="172" t="s">
        <v>1700</v>
      </c>
      <c r="C686" s="149"/>
      <c r="D686" s="149"/>
    </row>
    <row r="687" spans="1:4">
      <c r="A687" s="171" t="s">
        <v>1701</v>
      </c>
      <c r="B687" s="172" t="s">
        <v>1702</v>
      </c>
      <c r="C687" s="149"/>
      <c r="D687" s="149"/>
    </row>
    <row r="688" spans="1:4">
      <c r="A688" s="171" t="s">
        <v>1703</v>
      </c>
      <c r="B688" s="181" t="s">
        <v>1704</v>
      </c>
      <c r="C688" s="149"/>
      <c r="D688" s="149"/>
    </row>
    <row r="689" spans="1:4">
      <c r="A689" s="171" t="s">
        <v>1705</v>
      </c>
      <c r="B689" s="181" t="s">
        <v>1706</v>
      </c>
      <c r="C689" s="149"/>
      <c r="D689" s="149"/>
    </row>
    <row r="690" spans="1:4">
      <c r="A690" s="171" t="s">
        <v>1707</v>
      </c>
      <c r="B690" s="172" t="s">
        <v>1708</v>
      </c>
      <c r="C690" s="149"/>
      <c r="D690" s="149"/>
    </row>
    <row r="691" spans="1:4">
      <c r="A691" s="171" t="s">
        <v>1709</v>
      </c>
      <c r="B691" s="172" t="s">
        <v>1710</v>
      </c>
      <c r="C691" s="149"/>
      <c r="D691" s="149"/>
    </row>
    <row r="692" spans="1:4" ht="25.5">
      <c r="A692" s="171" t="s">
        <v>1711</v>
      </c>
      <c r="B692" s="172" t="s">
        <v>1712</v>
      </c>
      <c r="C692" s="149"/>
      <c r="D692" s="149"/>
    </row>
    <row r="693" spans="1:4" ht="25.5">
      <c r="A693" s="171" t="s">
        <v>1713</v>
      </c>
      <c r="B693" s="172" t="s">
        <v>1714</v>
      </c>
      <c r="C693" s="149"/>
      <c r="D693" s="149"/>
    </row>
    <row r="694" spans="1:4">
      <c r="A694" s="171" t="s">
        <v>1715</v>
      </c>
      <c r="B694" s="172" t="s">
        <v>1716</v>
      </c>
      <c r="C694" s="149"/>
      <c r="D694" s="149"/>
    </row>
    <row r="695" spans="1:4">
      <c r="A695" s="171" t="s">
        <v>1717</v>
      </c>
      <c r="B695" s="172" t="s">
        <v>1718</v>
      </c>
      <c r="C695" s="149"/>
      <c r="D695" s="149"/>
    </row>
    <row r="696" spans="1:4">
      <c r="A696" s="171" t="s">
        <v>1719</v>
      </c>
      <c r="B696" s="172" t="s">
        <v>1720</v>
      </c>
      <c r="C696" s="149"/>
      <c r="D696" s="149"/>
    </row>
    <row r="697" spans="1:4">
      <c r="A697" s="171" t="s">
        <v>1721</v>
      </c>
      <c r="B697" s="172" t="s">
        <v>1722</v>
      </c>
      <c r="C697" s="149"/>
      <c r="D697" s="149"/>
    </row>
    <row r="698" spans="1:4">
      <c r="A698" s="171" t="s">
        <v>1723</v>
      </c>
      <c r="B698" s="172" t="s">
        <v>1724</v>
      </c>
      <c r="C698" s="149"/>
      <c r="D698" s="149"/>
    </row>
    <row r="699" spans="1:4">
      <c r="A699" s="171" t="s">
        <v>1725</v>
      </c>
      <c r="B699" s="172" t="s">
        <v>1726</v>
      </c>
      <c r="C699" s="149"/>
      <c r="D699" s="149"/>
    </row>
    <row r="700" spans="1:4">
      <c r="A700" s="171" t="s">
        <v>1727</v>
      </c>
      <c r="B700" s="172" t="s">
        <v>1728</v>
      </c>
      <c r="C700" s="149"/>
      <c r="D700" s="149"/>
    </row>
    <row r="701" spans="1:4">
      <c r="A701" s="171" t="s">
        <v>1729</v>
      </c>
      <c r="B701" s="172" t="s">
        <v>1730</v>
      </c>
      <c r="C701" s="149"/>
      <c r="D701" s="149"/>
    </row>
    <row r="702" spans="1:4">
      <c r="A702" s="171" t="s">
        <v>1731</v>
      </c>
      <c r="B702" s="172" t="s">
        <v>1732</v>
      </c>
      <c r="C702" s="149"/>
      <c r="D702" s="149"/>
    </row>
    <row r="703" spans="1:4">
      <c r="A703" s="171" t="s">
        <v>1733</v>
      </c>
      <c r="B703" s="172" t="s">
        <v>1734</v>
      </c>
      <c r="C703" s="149"/>
      <c r="D703" s="149"/>
    </row>
    <row r="704" spans="1:4" ht="18.75">
      <c r="A704" s="170">
        <v>22</v>
      </c>
      <c r="B704" s="177" t="s">
        <v>1735</v>
      </c>
      <c r="C704" s="169"/>
      <c r="D704" s="169"/>
    </row>
    <row r="705" spans="1:4">
      <c r="A705" s="171" t="s">
        <v>1736</v>
      </c>
      <c r="B705" s="172" t="s">
        <v>1737</v>
      </c>
      <c r="C705" s="149"/>
      <c r="D705" s="149"/>
    </row>
    <row r="706" spans="1:4">
      <c r="A706" s="171" t="s">
        <v>1738</v>
      </c>
      <c r="B706" s="172" t="s">
        <v>1739</v>
      </c>
      <c r="C706" s="149"/>
      <c r="D706" s="149"/>
    </row>
    <row r="707" spans="1:4">
      <c r="A707" s="171" t="s">
        <v>1740</v>
      </c>
      <c r="B707" s="172" t="s">
        <v>1741</v>
      </c>
      <c r="C707" s="149"/>
      <c r="D707" s="149"/>
    </row>
    <row r="708" spans="1:4">
      <c r="A708" s="171" t="s">
        <v>1742</v>
      </c>
      <c r="B708" s="172" t="s">
        <v>1743</v>
      </c>
      <c r="C708" s="149"/>
      <c r="D708" s="149"/>
    </row>
    <row r="709" spans="1:4">
      <c r="A709" s="171" t="s">
        <v>1744</v>
      </c>
      <c r="B709" s="172" t="s">
        <v>1745</v>
      </c>
      <c r="C709" s="149"/>
      <c r="D709" s="149"/>
    </row>
    <row r="710" spans="1:4">
      <c r="A710" s="171" t="s">
        <v>1746</v>
      </c>
      <c r="B710" s="172" t="s">
        <v>1747</v>
      </c>
      <c r="C710" s="149"/>
      <c r="D710" s="149"/>
    </row>
    <row r="711" spans="1:4">
      <c r="A711" s="171" t="s">
        <v>1748</v>
      </c>
      <c r="B711" s="172" t="s">
        <v>1749</v>
      </c>
      <c r="C711" s="149"/>
      <c r="D711" s="149"/>
    </row>
    <row r="712" spans="1:4">
      <c r="A712" s="171" t="s">
        <v>1750</v>
      </c>
      <c r="B712" s="172" t="s">
        <v>1751</v>
      </c>
      <c r="C712" s="149"/>
      <c r="D712" s="149"/>
    </row>
    <row r="713" spans="1:4" ht="37.5">
      <c r="A713" s="170">
        <v>23</v>
      </c>
      <c r="B713" s="177" t="s">
        <v>1752</v>
      </c>
      <c r="C713" s="169"/>
      <c r="D713" s="169"/>
    </row>
    <row r="714" spans="1:4" ht="25.5">
      <c r="A714" s="171" t="s">
        <v>1753</v>
      </c>
      <c r="B714" s="172" t="s">
        <v>1754</v>
      </c>
      <c r="C714" s="149"/>
      <c r="D714" s="149"/>
    </row>
    <row r="715" spans="1:4" ht="25.5">
      <c r="A715" s="171" t="s">
        <v>1755</v>
      </c>
      <c r="B715" s="172" t="s">
        <v>1756</v>
      </c>
      <c r="C715" s="149"/>
      <c r="D715" s="149"/>
    </row>
    <row r="716" spans="1:4">
      <c r="A716" s="171" t="s">
        <v>1757</v>
      </c>
      <c r="B716" s="172" t="s">
        <v>1758</v>
      </c>
      <c r="C716" s="149"/>
      <c r="D716" s="149"/>
    </row>
    <row r="717" spans="1:4">
      <c r="A717" s="171" t="s">
        <v>1759</v>
      </c>
      <c r="B717" s="172" t="s">
        <v>1760</v>
      </c>
      <c r="C717" s="149"/>
      <c r="D717" s="149"/>
    </row>
    <row r="718" spans="1:4">
      <c r="A718" s="171" t="s">
        <v>1761</v>
      </c>
      <c r="B718" s="172" t="s">
        <v>1762</v>
      </c>
      <c r="C718" s="149"/>
      <c r="D718" s="149"/>
    </row>
    <row r="719" spans="1:4">
      <c r="A719" s="171" t="s">
        <v>1763</v>
      </c>
      <c r="B719" s="173" t="s">
        <v>1764</v>
      </c>
      <c r="C719" s="149"/>
      <c r="D719" s="149"/>
    </row>
    <row r="720" spans="1:4">
      <c r="A720" s="171" t="s">
        <v>1765</v>
      </c>
      <c r="B720" s="173" t="s">
        <v>1766</v>
      </c>
      <c r="C720" s="149"/>
      <c r="D720" s="149"/>
    </row>
    <row r="721" spans="1:4">
      <c r="A721" s="171" t="s">
        <v>1767</v>
      </c>
      <c r="B721" s="173" t="s">
        <v>1768</v>
      </c>
      <c r="C721" s="149"/>
      <c r="D721" s="149"/>
    </row>
    <row r="722" spans="1:4">
      <c r="A722" s="171" t="s">
        <v>1769</v>
      </c>
      <c r="B722" s="172" t="s">
        <v>1770</v>
      </c>
      <c r="C722" s="149"/>
      <c r="D722" s="149"/>
    </row>
    <row r="723" spans="1:4">
      <c r="A723" s="171" t="s">
        <v>1771</v>
      </c>
      <c r="B723" s="172" t="s">
        <v>1772</v>
      </c>
      <c r="C723" s="149"/>
      <c r="D723" s="149"/>
    </row>
    <row r="724" spans="1:4">
      <c r="A724" s="171" t="s">
        <v>1773</v>
      </c>
      <c r="B724" s="172" t="s">
        <v>1774</v>
      </c>
      <c r="C724" s="149"/>
      <c r="D724" s="149"/>
    </row>
    <row r="725" spans="1:4">
      <c r="A725" s="171" t="s">
        <v>1775</v>
      </c>
      <c r="B725" s="172" t="s">
        <v>1776</v>
      </c>
      <c r="C725" s="149"/>
      <c r="D725" s="149"/>
    </row>
    <row r="726" spans="1:4">
      <c r="A726" s="171" t="s">
        <v>1777</v>
      </c>
      <c r="B726" s="172" t="s">
        <v>1778</v>
      </c>
      <c r="C726" s="149"/>
      <c r="D726" s="149"/>
    </row>
    <row r="727" spans="1:4" ht="23.25">
      <c r="A727" s="185"/>
      <c r="B727" s="186" t="s">
        <v>1779</v>
      </c>
      <c r="C727" s="186"/>
      <c r="D727" s="169"/>
    </row>
    <row r="728" spans="1:4">
      <c r="A728" s="171" t="s">
        <v>1780</v>
      </c>
      <c r="B728" s="187" t="s">
        <v>1781</v>
      </c>
      <c r="C728" s="149"/>
      <c r="D728" s="149"/>
    </row>
    <row r="729" spans="1:4" ht="25.5">
      <c r="A729" s="188" t="s">
        <v>1782</v>
      </c>
      <c r="B729" s="187" t="s">
        <v>1783</v>
      </c>
      <c r="C729" s="149"/>
      <c r="D729" s="149"/>
    </row>
    <row r="730" spans="1:4">
      <c r="A730" s="188" t="s">
        <v>1784</v>
      </c>
      <c r="B730" s="187" t="s">
        <v>1785</v>
      </c>
      <c r="C730" s="149"/>
      <c r="D730" s="149"/>
    </row>
    <row r="731" spans="1:4" ht="23.25">
      <c r="A731" s="189"/>
      <c r="B731" s="186" t="s">
        <v>1786</v>
      </c>
      <c r="C731" s="186"/>
      <c r="D731" s="169"/>
    </row>
    <row r="732" spans="1:4">
      <c r="A732" s="188" t="s">
        <v>1787</v>
      </c>
      <c r="B732" s="187" t="s">
        <v>1788</v>
      </c>
      <c r="C732" s="149"/>
      <c r="D732" s="149"/>
    </row>
    <row r="733" spans="1:4">
      <c r="A733" s="188" t="s">
        <v>1789</v>
      </c>
      <c r="B733" s="187" t="s">
        <v>1790</v>
      </c>
      <c r="C733" s="149"/>
      <c r="D733" s="149"/>
    </row>
    <row r="734" spans="1:4">
      <c r="A734" s="188" t="s">
        <v>1791</v>
      </c>
      <c r="B734" s="187" t="s">
        <v>1792</v>
      </c>
      <c r="C734" s="149"/>
      <c r="D734" s="149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054"/>
  <sheetViews>
    <sheetView view="pageBreakPreview" topLeftCell="A3990" zoomScaleSheetLayoutView="100" workbookViewId="0">
      <selection activeCell="N3975" sqref="N3975"/>
    </sheetView>
  </sheetViews>
  <sheetFormatPr defaultRowHeight="24.95" customHeight="1"/>
  <cols>
    <col min="2" max="2" width="45.7109375" customWidth="1"/>
  </cols>
  <sheetData>
    <row r="1" spans="1:11" ht="24.95" customHeight="1">
      <c r="A1" s="683"/>
      <c r="B1" s="684" t="s">
        <v>208</v>
      </c>
      <c r="C1" s="1960" t="s">
        <v>1847</v>
      </c>
      <c r="D1" s="1961"/>
      <c r="E1" s="1961"/>
      <c r="F1" s="1961"/>
      <c r="G1" s="1961"/>
      <c r="H1" s="1961"/>
      <c r="I1" s="1961"/>
      <c r="J1" s="1961"/>
      <c r="K1" s="1961"/>
    </row>
    <row r="2" spans="1:11" ht="24.95" customHeight="1">
      <c r="A2" s="683"/>
      <c r="B2" s="684" t="s">
        <v>209</v>
      </c>
      <c r="C2" s="1958" t="s">
        <v>2370</v>
      </c>
      <c r="D2" s="1959"/>
      <c r="E2" s="1959"/>
      <c r="F2" s="1959"/>
      <c r="G2" s="1959"/>
      <c r="H2" s="1959"/>
      <c r="I2" s="1959"/>
      <c r="J2" s="1959"/>
      <c r="K2" s="1959"/>
    </row>
    <row r="3" spans="1:11" ht="24.95" customHeight="1">
      <c r="A3" s="683"/>
      <c r="B3" s="684" t="s">
        <v>211</v>
      </c>
      <c r="C3" s="1960" t="s">
        <v>2037</v>
      </c>
      <c r="D3" s="1961"/>
      <c r="E3" s="1961"/>
      <c r="F3" s="1961"/>
      <c r="G3" s="1961"/>
      <c r="H3" s="1961"/>
      <c r="I3" s="1961"/>
      <c r="J3" s="1961"/>
      <c r="K3" s="1961"/>
    </row>
    <row r="4" spans="1:11" ht="24.95" customHeight="1">
      <c r="A4" s="683"/>
      <c r="B4" s="684" t="s">
        <v>210</v>
      </c>
      <c r="C4" s="2221" t="s">
        <v>331</v>
      </c>
      <c r="D4" s="2222"/>
      <c r="E4" s="2222"/>
      <c r="F4" s="2222"/>
      <c r="G4" s="2222"/>
      <c r="H4" s="2222"/>
      <c r="I4" s="2222"/>
      <c r="J4" s="2222"/>
      <c r="K4" s="2222"/>
    </row>
    <row r="5" spans="1:11" ht="24.95" customHeight="1">
      <c r="A5" s="683"/>
      <c r="B5" s="684" t="s">
        <v>251</v>
      </c>
      <c r="C5" s="2084" t="s">
        <v>2371</v>
      </c>
      <c r="D5" s="2085"/>
      <c r="E5" s="2085"/>
      <c r="F5" s="2085"/>
      <c r="G5" s="2085"/>
      <c r="H5" s="2085"/>
      <c r="I5" s="2085"/>
      <c r="J5" s="2085"/>
      <c r="K5" s="2085"/>
    </row>
    <row r="6" spans="1:11" ht="24.95" customHeight="1">
      <c r="A6" s="1980" t="s">
        <v>122</v>
      </c>
      <c r="B6" s="1980" t="s">
        <v>253</v>
      </c>
      <c r="C6" s="2231" t="s">
        <v>2038</v>
      </c>
      <c r="D6" s="2232"/>
      <c r="E6" s="2233"/>
      <c r="F6" s="2231" t="s">
        <v>2039</v>
      </c>
      <c r="G6" s="2232"/>
      <c r="H6" s="2233"/>
      <c r="I6" s="2231" t="s">
        <v>90</v>
      </c>
      <c r="J6" s="2232"/>
      <c r="K6" s="2233"/>
    </row>
    <row r="7" spans="1:11" ht="24.95" customHeight="1">
      <c r="A7" s="1981"/>
      <c r="B7" s="1981"/>
      <c r="C7" s="685" t="s">
        <v>368</v>
      </c>
      <c r="D7" s="547" t="s">
        <v>2040</v>
      </c>
      <c r="E7" s="686" t="s">
        <v>2041</v>
      </c>
      <c r="F7" s="687" t="s">
        <v>368</v>
      </c>
      <c r="G7" s="547" t="s">
        <v>2040</v>
      </c>
      <c r="H7" s="686" t="s">
        <v>2041</v>
      </c>
      <c r="I7" s="688" t="s">
        <v>368</v>
      </c>
      <c r="J7" s="547" t="s">
        <v>2040</v>
      </c>
      <c r="K7" s="689" t="s">
        <v>2041</v>
      </c>
    </row>
    <row r="8" spans="1:11" ht="24.95" customHeight="1">
      <c r="A8" s="672"/>
      <c r="B8" s="690" t="s">
        <v>2372</v>
      </c>
      <c r="C8" s="2234"/>
      <c r="D8" s="2235"/>
      <c r="E8" s="2235"/>
      <c r="F8" s="2235"/>
      <c r="G8" s="2235"/>
      <c r="H8" s="2235"/>
      <c r="I8" s="2235"/>
      <c r="J8" s="2235"/>
      <c r="K8" s="2236"/>
    </row>
    <row r="9" spans="1:11" ht="24.95" customHeight="1">
      <c r="A9" s="691" t="s">
        <v>2373</v>
      </c>
      <c r="B9" s="692" t="s">
        <v>2374</v>
      </c>
      <c r="C9" s="693"/>
      <c r="D9" s="693"/>
      <c r="E9" s="694" t="e">
        <f>+D9/C9</f>
        <v>#DIV/0!</v>
      </c>
      <c r="F9" s="693">
        <v>1</v>
      </c>
      <c r="G9" s="693"/>
      <c r="H9" s="694"/>
      <c r="I9" s="693">
        <f t="shared" ref="I9:J40" si="0">+C9+F9</f>
        <v>1</v>
      </c>
      <c r="J9" s="695">
        <f t="shared" si="0"/>
        <v>0</v>
      </c>
      <c r="K9" s="650">
        <f>+J9/I9</f>
        <v>0</v>
      </c>
    </row>
    <row r="10" spans="1:11" ht="24.95" customHeight="1">
      <c r="A10" s="696" t="s">
        <v>2375</v>
      </c>
      <c r="B10" s="697" t="s">
        <v>2376</v>
      </c>
      <c r="C10" s="698"/>
      <c r="D10" s="698"/>
      <c r="E10" s="694" t="e">
        <f t="shared" ref="E10:E73" si="1">+D10/C10</f>
        <v>#DIV/0!</v>
      </c>
      <c r="F10" s="699"/>
      <c r="G10" s="699">
        <v>1</v>
      </c>
      <c r="H10" s="700"/>
      <c r="I10" s="693">
        <f t="shared" si="0"/>
        <v>0</v>
      </c>
      <c r="J10" s="695">
        <f t="shared" si="0"/>
        <v>1</v>
      </c>
      <c r="K10" s="650" t="e">
        <f t="shared" ref="K10:K73" si="2">+J10/I10</f>
        <v>#DIV/0!</v>
      </c>
    </row>
    <row r="11" spans="1:11" ht="24.95" customHeight="1">
      <c r="A11" s="701" t="s">
        <v>2377</v>
      </c>
      <c r="B11" s="702" t="s">
        <v>2378</v>
      </c>
      <c r="C11" s="698"/>
      <c r="D11" s="698"/>
      <c r="E11" s="694" t="e">
        <f t="shared" si="1"/>
        <v>#DIV/0!</v>
      </c>
      <c r="F11" s="698">
        <v>40</v>
      </c>
      <c r="G11" s="698">
        <v>13</v>
      </c>
      <c r="H11" s="703"/>
      <c r="I11" s="693">
        <f t="shared" si="0"/>
        <v>40</v>
      </c>
      <c r="J11" s="695">
        <f t="shared" si="0"/>
        <v>13</v>
      </c>
      <c r="K11" s="650">
        <f t="shared" si="2"/>
        <v>0.32500000000000001</v>
      </c>
    </row>
    <row r="12" spans="1:11" ht="24.95" customHeight="1">
      <c r="A12" s="701" t="s">
        <v>2379</v>
      </c>
      <c r="B12" s="702" t="s">
        <v>2380</v>
      </c>
      <c r="C12" s="698"/>
      <c r="D12" s="698"/>
      <c r="E12" s="694" t="e">
        <f t="shared" si="1"/>
        <v>#DIV/0!</v>
      </c>
      <c r="F12" s="698">
        <v>0</v>
      </c>
      <c r="G12" s="698"/>
      <c r="H12" s="703"/>
      <c r="I12" s="693">
        <f t="shared" si="0"/>
        <v>0</v>
      </c>
      <c r="J12" s="695">
        <f t="shared" si="0"/>
        <v>0</v>
      </c>
      <c r="K12" s="650" t="e">
        <f t="shared" si="2"/>
        <v>#DIV/0!</v>
      </c>
    </row>
    <row r="13" spans="1:11" ht="24.95" customHeight="1">
      <c r="A13" s="701" t="s">
        <v>2381</v>
      </c>
      <c r="B13" s="702" t="s">
        <v>2382</v>
      </c>
      <c r="C13" s="698"/>
      <c r="D13" s="698"/>
      <c r="E13" s="694" t="e">
        <f t="shared" si="1"/>
        <v>#DIV/0!</v>
      </c>
      <c r="F13" s="698">
        <v>40</v>
      </c>
      <c r="G13" s="698">
        <v>1</v>
      </c>
      <c r="H13" s="703"/>
      <c r="I13" s="693">
        <f t="shared" si="0"/>
        <v>40</v>
      </c>
      <c r="J13" s="695">
        <f t="shared" si="0"/>
        <v>1</v>
      </c>
      <c r="K13" s="650">
        <f t="shared" si="2"/>
        <v>2.5000000000000001E-2</v>
      </c>
    </row>
    <row r="14" spans="1:11" ht="24.95" customHeight="1">
      <c r="A14" s="701" t="s">
        <v>2383</v>
      </c>
      <c r="B14" s="704" t="s">
        <v>2384</v>
      </c>
      <c r="C14" s="698"/>
      <c r="D14" s="698"/>
      <c r="E14" s="694" t="e">
        <f t="shared" si="1"/>
        <v>#DIV/0!</v>
      </c>
      <c r="F14" s="698">
        <v>520</v>
      </c>
      <c r="G14" s="698">
        <v>252</v>
      </c>
      <c r="H14" s="703"/>
      <c r="I14" s="693">
        <f t="shared" si="0"/>
        <v>520</v>
      </c>
      <c r="J14" s="695">
        <f t="shared" si="0"/>
        <v>252</v>
      </c>
      <c r="K14" s="650">
        <f t="shared" si="2"/>
        <v>0.48461538461538461</v>
      </c>
    </row>
    <row r="15" spans="1:11" ht="24.95" customHeight="1">
      <c r="A15" s="701" t="s">
        <v>2385</v>
      </c>
      <c r="B15" s="704" t="s">
        <v>2386</v>
      </c>
      <c r="C15" s="698"/>
      <c r="D15" s="698"/>
      <c r="E15" s="694" t="e">
        <f t="shared" si="1"/>
        <v>#DIV/0!</v>
      </c>
      <c r="F15" s="698">
        <v>5200</v>
      </c>
      <c r="G15" s="698">
        <v>2150</v>
      </c>
      <c r="H15" s="703"/>
      <c r="I15" s="693">
        <f t="shared" si="0"/>
        <v>5200</v>
      </c>
      <c r="J15" s="695">
        <f t="shared" si="0"/>
        <v>2150</v>
      </c>
      <c r="K15" s="650">
        <f t="shared" si="2"/>
        <v>0.41346153846153844</v>
      </c>
    </row>
    <row r="16" spans="1:11" ht="24.95" customHeight="1">
      <c r="A16" s="701" t="s">
        <v>2387</v>
      </c>
      <c r="B16" s="704" t="s">
        <v>2388</v>
      </c>
      <c r="C16" s="698"/>
      <c r="D16" s="698"/>
      <c r="E16" s="694" t="e">
        <f t="shared" si="1"/>
        <v>#DIV/0!</v>
      </c>
      <c r="F16" s="698">
        <v>5150</v>
      </c>
      <c r="G16" s="698">
        <v>2151</v>
      </c>
      <c r="H16" s="703"/>
      <c r="I16" s="693">
        <f t="shared" si="0"/>
        <v>5150</v>
      </c>
      <c r="J16" s="695">
        <f t="shared" si="0"/>
        <v>2151</v>
      </c>
      <c r="K16" s="650">
        <f t="shared" si="2"/>
        <v>0.41766990291262135</v>
      </c>
    </row>
    <row r="17" spans="1:11" ht="24.95" customHeight="1">
      <c r="A17" s="696" t="s">
        <v>2389</v>
      </c>
      <c r="B17" s="697" t="s">
        <v>2390</v>
      </c>
      <c r="C17" s="698">
        <v>11</v>
      </c>
      <c r="D17" s="698">
        <v>7</v>
      </c>
      <c r="E17" s="694">
        <f t="shared" si="1"/>
        <v>0.63636363636363635</v>
      </c>
      <c r="F17" s="698">
        <v>100</v>
      </c>
      <c r="G17" s="698">
        <f>7+32</f>
        <v>39</v>
      </c>
      <c r="H17" s="703"/>
      <c r="I17" s="693">
        <f t="shared" si="0"/>
        <v>111</v>
      </c>
      <c r="J17" s="695">
        <f t="shared" si="0"/>
        <v>46</v>
      </c>
      <c r="K17" s="650">
        <f t="shared" si="2"/>
        <v>0.4144144144144144</v>
      </c>
    </row>
    <row r="18" spans="1:11" ht="24.95" customHeight="1">
      <c r="A18" s="701" t="s">
        <v>2391</v>
      </c>
      <c r="B18" s="704" t="s">
        <v>2392</v>
      </c>
      <c r="C18" s="698"/>
      <c r="D18" s="698"/>
      <c r="E18" s="694" t="e">
        <f t="shared" si="1"/>
        <v>#DIV/0!</v>
      </c>
      <c r="F18" s="698">
        <v>5</v>
      </c>
      <c r="G18" s="698"/>
      <c r="H18" s="703"/>
      <c r="I18" s="693">
        <f t="shared" si="0"/>
        <v>5</v>
      </c>
      <c r="J18" s="695">
        <f t="shared" si="0"/>
        <v>0</v>
      </c>
      <c r="K18" s="650">
        <f t="shared" si="2"/>
        <v>0</v>
      </c>
    </row>
    <row r="19" spans="1:11" ht="24.95" customHeight="1">
      <c r="A19" s="701" t="s">
        <v>2393</v>
      </c>
      <c r="B19" s="704" t="s">
        <v>2394</v>
      </c>
      <c r="C19" s="698"/>
      <c r="D19" s="698"/>
      <c r="E19" s="694" t="e">
        <f t="shared" si="1"/>
        <v>#DIV/0!</v>
      </c>
      <c r="F19" s="698">
        <v>30</v>
      </c>
      <c r="G19" s="698">
        <v>5</v>
      </c>
      <c r="H19" s="703"/>
      <c r="I19" s="693">
        <f t="shared" si="0"/>
        <v>30</v>
      </c>
      <c r="J19" s="695">
        <f t="shared" si="0"/>
        <v>5</v>
      </c>
      <c r="K19" s="650">
        <f t="shared" si="2"/>
        <v>0.16666666666666666</v>
      </c>
    </row>
    <row r="20" spans="1:11" ht="24.95" customHeight="1">
      <c r="A20" s="701" t="s">
        <v>2395</v>
      </c>
      <c r="B20" s="704" t="s">
        <v>2396</v>
      </c>
      <c r="C20" s="698"/>
      <c r="D20" s="698"/>
      <c r="E20" s="694" t="e">
        <f t="shared" si="1"/>
        <v>#DIV/0!</v>
      </c>
      <c r="F20" s="699">
        <v>920</v>
      </c>
      <c r="G20" s="699">
        <f>7+481</f>
        <v>488</v>
      </c>
      <c r="H20" s="700"/>
      <c r="I20" s="693">
        <f t="shared" si="0"/>
        <v>920</v>
      </c>
      <c r="J20" s="695">
        <f t="shared" si="0"/>
        <v>488</v>
      </c>
      <c r="K20" s="650">
        <f t="shared" si="2"/>
        <v>0.5304347826086957</v>
      </c>
    </row>
    <row r="21" spans="1:11" ht="24.95" customHeight="1">
      <c r="A21" s="701" t="s">
        <v>2397</v>
      </c>
      <c r="B21" s="704" t="s">
        <v>2398</v>
      </c>
      <c r="C21" s="698"/>
      <c r="D21" s="698"/>
      <c r="E21" s="694" t="e">
        <f t="shared" si="1"/>
        <v>#DIV/0!</v>
      </c>
      <c r="F21" s="699">
        <v>11</v>
      </c>
      <c r="G21" s="699">
        <v>125</v>
      </c>
      <c r="H21" s="700"/>
      <c r="I21" s="693">
        <f t="shared" si="0"/>
        <v>11</v>
      </c>
      <c r="J21" s="695">
        <f t="shared" si="0"/>
        <v>125</v>
      </c>
      <c r="K21" s="650">
        <f t="shared" si="2"/>
        <v>11.363636363636363</v>
      </c>
    </row>
    <row r="22" spans="1:11" ht="24.95" customHeight="1">
      <c r="A22" s="432" t="s">
        <v>2399</v>
      </c>
      <c r="B22" s="704" t="s">
        <v>2400</v>
      </c>
      <c r="C22" s="698">
        <v>1</v>
      </c>
      <c r="D22" s="698">
        <v>1</v>
      </c>
      <c r="E22" s="694">
        <f t="shared" si="1"/>
        <v>1</v>
      </c>
      <c r="F22" s="699">
        <v>210</v>
      </c>
      <c r="G22" s="699">
        <f>14+65</f>
        <v>79</v>
      </c>
      <c r="H22" s="700"/>
      <c r="I22" s="693">
        <f t="shared" si="0"/>
        <v>211</v>
      </c>
      <c r="J22" s="695">
        <f t="shared" si="0"/>
        <v>80</v>
      </c>
      <c r="K22" s="650">
        <f t="shared" si="2"/>
        <v>0.37914691943127959</v>
      </c>
    </row>
    <row r="23" spans="1:11" ht="24.95" customHeight="1">
      <c r="A23" s="701" t="s">
        <v>2401</v>
      </c>
      <c r="B23" s="702" t="s">
        <v>2402</v>
      </c>
      <c r="C23" s="698"/>
      <c r="D23" s="698"/>
      <c r="E23" s="694" t="e">
        <f t="shared" si="1"/>
        <v>#DIV/0!</v>
      </c>
      <c r="F23" s="698">
        <v>5220</v>
      </c>
      <c r="G23" s="698">
        <v>2230</v>
      </c>
      <c r="H23" s="703"/>
      <c r="I23" s="693">
        <f t="shared" si="0"/>
        <v>5220</v>
      </c>
      <c r="J23" s="695">
        <f t="shared" si="0"/>
        <v>2230</v>
      </c>
      <c r="K23" s="650">
        <f t="shared" si="2"/>
        <v>0.42720306513409961</v>
      </c>
    </row>
    <row r="24" spans="1:11" ht="24.95" customHeight="1">
      <c r="A24" s="701" t="s">
        <v>2403</v>
      </c>
      <c r="B24" s="702" t="s">
        <v>2404</v>
      </c>
      <c r="C24" s="698">
        <v>5</v>
      </c>
      <c r="D24" s="698">
        <v>1</v>
      </c>
      <c r="E24" s="694">
        <f t="shared" si="1"/>
        <v>0.2</v>
      </c>
      <c r="F24" s="698">
        <v>370</v>
      </c>
      <c r="G24" s="698">
        <f>4+141</f>
        <v>145</v>
      </c>
      <c r="H24" s="703"/>
      <c r="I24" s="693">
        <f t="shared" si="0"/>
        <v>375</v>
      </c>
      <c r="J24" s="695">
        <f t="shared" si="0"/>
        <v>146</v>
      </c>
      <c r="K24" s="650">
        <f t="shared" si="2"/>
        <v>0.38933333333333331</v>
      </c>
    </row>
    <row r="25" spans="1:11" ht="24.95" customHeight="1">
      <c r="A25" s="701" t="s">
        <v>2405</v>
      </c>
      <c r="B25" s="705" t="s">
        <v>2406</v>
      </c>
      <c r="C25" s="698"/>
      <c r="D25" s="698"/>
      <c r="E25" s="694" t="e">
        <f t="shared" si="1"/>
        <v>#DIV/0!</v>
      </c>
      <c r="F25" s="698">
        <v>300</v>
      </c>
      <c r="G25" s="698">
        <v>125</v>
      </c>
      <c r="H25" s="703"/>
      <c r="I25" s="693">
        <f t="shared" si="0"/>
        <v>300</v>
      </c>
      <c r="J25" s="695">
        <f t="shared" si="0"/>
        <v>125</v>
      </c>
      <c r="K25" s="650">
        <f t="shared" si="2"/>
        <v>0.41666666666666669</v>
      </c>
    </row>
    <row r="26" spans="1:11" ht="24.95" customHeight="1">
      <c r="A26" s="701" t="s">
        <v>2407</v>
      </c>
      <c r="B26" s="705" t="s">
        <v>2408</v>
      </c>
      <c r="C26" s="698"/>
      <c r="D26" s="698"/>
      <c r="E26" s="694" t="e">
        <f t="shared" si="1"/>
        <v>#DIV/0!</v>
      </c>
      <c r="F26" s="699">
        <v>35</v>
      </c>
      <c r="G26" s="699">
        <v>59</v>
      </c>
      <c r="H26" s="700"/>
      <c r="I26" s="693">
        <f t="shared" si="0"/>
        <v>35</v>
      </c>
      <c r="J26" s="695">
        <f t="shared" si="0"/>
        <v>59</v>
      </c>
      <c r="K26" s="650">
        <f t="shared" si="2"/>
        <v>1.6857142857142857</v>
      </c>
    </row>
    <row r="27" spans="1:11" ht="24.95" customHeight="1">
      <c r="A27" s="706" t="s">
        <v>2409</v>
      </c>
      <c r="B27" s="707" t="s">
        <v>2410</v>
      </c>
      <c r="C27" s="698"/>
      <c r="D27" s="698"/>
      <c r="E27" s="694" t="e">
        <f t="shared" si="1"/>
        <v>#DIV/0!</v>
      </c>
      <c r="F27" s="699">
        <v>50</v>
      </c>
      <c r="G27" s="699">
        <v>81</v>
      </c>
      <c r="H27" s="700"/>
      <c r="I27" s="693">
        <f t="shared" si="0"/>
        <v>50</v>
      </c>
      <c r="J27" s="695">
        <f t="shared" si="0"/>
        <v>81</v>
      </c>
      <c r="K27" s="650">
        <f t="shared" si="2"/>
        <v>1.62</v>
      </c>
    </row>
    <row r="28" spans="1:11" ht="24.95" customHeight="1">
      <c r="A28" s="706" t="s">
        <v>2411</v>
      </c>
      <c r="B28" s="707" t="s">
        <v>2412</v>
      </c>
      <c r="C28" s="698"/>
      <c r="D28" s="698"/>
      <c r="E28" s="694" t="e">
        <f t="shared" si="1"/>
        <v>#DIV/0!</v>
      </c>
      <c r="F28" s="699">
        <f>1+10</f>
        <v>11</v>
      </c>
      <c r="G28" s="699"/>
      <c r="H28" s="700"/>
      <c r="I28" s="693">
        <f t="shared" si="0"/>
        <v>11</v>
      </c>
      <c r="J28" s="695">
        <f t="shared" si="0"/>
        <v>0</v>
      </c>
      <c r="K28" s="650">
        <f t="shared" si="2"/>
        <v>0</v>
      </c>
    </row>
    <row r="29" spans="1:11" ht="24.95" customHeight="1">
      <c r="A29" s="708" t="s">
        <v>2413</v>
      </c>
      <c r="B29" s="707" t="s">
        <v>2414</v>
      </c>
      <c r="C29" s="698">
        <v>10</v>
      </c>
      <c r="D29" s="698">
        <v>2</v>
      </c>
      <c r="E29" s="694">
        <f t="shared" si="1"/>
        <v>0.2</v>
      </c>
      <c r="F29" s="698">
        <v>270</v>
      </c>
      <c r="G29" s="698">
        <f>17+135</f>
        <v>152</v>
      </c>
      <c r="H29" s="703"/>
      <c r="I29" s="693">
        <f t="shared" si="0"/>
        <v>280</v>
      </c>
      <c r="J29" s="695">
        <f t="shared" si="0"/>
        <v>154</v>
      </c>
      <c r="K29" s="650">
        <f t="shared" si="2"/>
        <v>0.55000000000000004</v>
      </c>
    </row>
    <row r="30" spans="1:11" ht="24.95" customHeight="1">
      <c r="A30" s="708" t="s">
        <v>2415</v>
      </c>
      <c r="B30" s="707" t="s">
        <v>2416</v>
      </c>
      <c r="C30" s="698"/>
      <c r="D30" s="698"/>
      <c r="E30" s="694" t="e">
        <f t="shared" si="1"/>
        <v>#DIV/0!</v>
      </c>
      <c r="F30" s="698">
        <v>2</v>
      </c>
      <c r="G30" s="698"/>
      <c r="H30" s="703"/>
      <c r="I30" s="693">
        <f t="shared" si="0"/>
        <v>2</v>
      </c>
      <c r="J30" s="695">
        <f t="shared" si="0"/>
        <v>0</v>
      </c>
      <c r="K30" s="650">
        <f t="shared" si="2"/>
        <v>0</v>
      </c>
    </row>
    <row r="31" spans="1:11" s="711" customFormat="1" ht="24.95" customHeight="1">
      <c r="A31" s="709" t="s">
        <v>2417</v>
      </c>
      <c r="B31" s="710" t="s">
        <v>2418</v>
      </c>
      <c r="C31" s="698"/>
      <c r="D31" s="698"/>
      <c r="E31" s="694" t="e">
        <f t="shared" si="1"/>
        <v>#DIV/0!</v>
      </c>
      <c r="F31" s="698">
        <v>0</v>
      </c>
      <c r="G31" s="698"/>
      <c r="H31" s="703"/>
      <c r="I31" s="693">
        <f t="shared" si="0"/>
        <v>0</v>
      </c>
      <c r="J31" s="695">
        <f t="shared" si="0"/>
        <v>0</v>
      </c>
      <c r="K31" s="650" t="e">
        <f t="shared" si="2"/>
        <v>#DIV/0!</v>
      </c>
    </row>
    <row r="32" spans="1:11" ht="24.95" customHeight="1">
      <c r="A32" s="712" t="s">
        <v>2419</v>
      </c>
      <c r="B32" s="702" t="s">
        <v>2420</v>
      </c>
      <c r="C32" s="698"/>
      <c r="D32" s="698"/>
      <c r="E32" s="694" t="e">
        <f t="shared" si="1"/>
        <v>#DIV/0!</v>
      </c>
      <c r="F32" s="698">
        <v>5</v>
      </c>
      <c r="G32" s="698"/>
      <c r="H32" s="703"/>
      <c r="I32" s="693">
        <f t="shared" si="0"/>
        <v>5</v>
      </c>
      <c r="J32" s="695">
        <f t="shared" si="0"/>
        <v>0</v>
      </c>
      <c r="K32" s="650">
        <f t="shared" si="2"/>
        <v>0</v>
      </c>
    </row>
    <row r="33" spans="1:11" ht="24.95" customHeight="1">
      <c r="A33" s="713" t="s">
        <v>2421</v>
      </c>
      <c r="B33" s="702" t="s">
        <v>2422</v>
      </c>
      <c r="C33" s="698"/>
      <c r="D33" s="698"/>
      <c r="E33" s="694" t="e">
        <f t="shared" si="1"/>
        <v>#DIV/0!</v>
      </c>
      <c r="F33" s="698">
        <v>5</v>
      </c>
      <c r="G33" s="698"/>
      <c r="H33" s="703"/>
      <c r="I33" s="693">
        <f t="shared" si="0"/>
        <v>5</v>
      </c>
      <c r="J33" s="695">
        <f t="shared" si="0"/>
        <v>0</v>
      </c>
      <c r="K33" s="650">
        <f t="shared" si="2"/>
        <v>0</v>
      </c>
    </row>
    <row r="34" spans="1:11" ht="24.95" customHeight="1">
      <c r="A34" s="713" t="s">
        <v>2423</v>
      </c>
      <c r="B34" s="714" t="s">
        <v>2424</v>
      </c>
      <c r="C34" s="698">
        <v>15</v>
      </c>
      <c r="D34" s="698">
        <v>8</v>
      </c>
      <c r="E34" s="694">
        <f t="shared" si="1"/>
        <v>0.53333333333333333</v>
      </c>
      <c r="F34" s="698">
        <v>870</v>
      </c>
      <c r="G34" s="698">
        <f>3+954</f>
        <v>957</v>
      </c>
      <c r="H34" s="703"/>
      <c r="I34" s="693">
        <f t="shared" si="0"/>
        <v>885</v>
      </c>
      <c r="J34" s="695">
        <f t="shared" si="0"/>
        <v>965</v>
      </c>
      <c r="K34" s="650">
        <f t="shared" si="2"/>
        <v>1.0903954802259888</v>
      </c>
    </row>
    <row r="35" spans="1:11" ht="24.95" customHeight="1">
      <c r="A35" s="713" t="s">
        <v>2425</v>
      </c>
      <c r="B35" s="714" t="s">
        <v>2426</v>
      </c>
      <c r="C35" s="698"/>
      <c r="D35" s="698"/>
      <c r="E35" s="694" t="e">
        <f t="shared" si="1"/>
        <v>#DIV/0!</v>
      </c>
      <c r="F35" s="698"/>
      <c r="G35" s="698"/>
      <c r="H35" s="703"/>
      <c r="I35" s="693">
        <f t="shared" si="0"/>
        <v>0</v>
      </c>
      <c r="J35" s="695">
        <f t="shared" si="0"/>
        <v>0</v>
      </c>
      <c r="K35" s="650" t="e">
        <f t="shared" si="2"/>
        <v>#DIV/0!</v>
      </c>
    </row>
    <row r="36" spans="1:11" ht="24.95" customHeight="1">
      <c r="A36" s="701" t="s">
        <v>2427</v>
      </c>
      <c r="B36" s="704" t="s">
        <v>2428</v>
      </c>
      <c r="C36" s="698">
        <v>15</v>
      </c>
      <c r="D36" s="698">
        <v>9</v>
      </c>
      <c r="E36" s="694">
        <f t="shared" si="1"/>
        <v>0.6</v>
      </c>
      <c r="F36" s="698">
        <v>200</v>
      </c>
      <c r="G36" s="698">
        <f>32+8</f>
        <v>40</v>
      </c>
      <c r="H36" s="703"/>
      <c r="I36" s="693">
        <f t="shared" si="0"/>
        <v>215</v>
      </c>
      <c r="J36" s="695">
        <f t="shared" si="0"/>
        <v>49</v>
      </c>
      <c r="K36" s="650">
        <f t="shared" si="2"/>
        <v>0.22790697674418606</v>
      </c>
    </row>
    <row r="37" spans="1:11" ht="24.95" customHeight="1">
      <c r="A37" s="701" t="s">
        <v>2429</v>
      </c>
      <c r="B37" s="704" t="s">
        <v>2430</v>
      </c>
      <c r="C37" s="698"/>
      <c r="D37" s="698"/>
      <c r="E37" s="694" t="e">
        <f t="shared" si="1"/>
        <v>#DIV/0!</v>
      </c>
      <c r="F37" s="698">
        <v>480</v>
      </c>
      <c r="G37" s="698">
        <v>90</v>
      </c>
      <c r="H37" s="703"/>
      <c r="I37" s="693">
        <f t="shared" si="0"/>
        <v>480</v>
      </c>
      <c r="J37" s="695">
        <f t="shared" si="0"/>
        <v>90</v>
      </c>
      <c r="K37" s="650">
        <f t="shared" si="2"/>
        <v>0.1875</v>
      </c>
    </row>
    <row r="38" spans="1:11" ht="24.95" customHeight="1">
      <c r="A38" s="715" t="s">
        <v>2431</v>
      </c>
      <c r="B38" s="707" t="s">
        <v>2432</v>
      </c>
      <c r="C38" s="698"/>
      <c r="D38" s="698"/>
      <c r="E38" s="694" t="e">
        <f t="shared" si="1"/>
        <v>#DIV/0!</v>
      </c>
      <c r="F38" s="699">
        <v>10</v>
      </c>
      <c r="G38" s="699">
        <v>2</v>
      </c>
      <c r="H38" s="700"/>
      <c r="I38" s="693">
        <f t="shared" si="0"/>
        <v>10</v>
      </c>
      <c r="J38" s="695">
        <f t="shared" si="0"/>
        <v>2</v>
      </c>
      <c r="K38" s="650">
        <f t="shared" si="2"/>
        <v>0.2</v>
      </c>
    </row>
    <row r="39" spans="1:11" ht="24.95" customHeight="1">
      <c r="A39" s="696" t="s">
        <v>2433</v>
      </c>
      <c r="B39" s="697" t="s">
        <v>2434</v>
      </c>
      <c r="C39" s="698"/>
      <c r="D39" s="698"/>
      <c r="E39" s="694" t="e">
        <f t="shared" si="1"/>
        <v>#DIV/0!</v>
      </c>
      <c r="F39" s="698">
        <v>10750</v>
      </c>
      <c r="G39" s="698">
        <v>6451</v>
      </c>
      <c r="H39" s="703"/>
      <c r="I39" s="693">
        <f t="shared" si="0"/>
        <v>10750</v>
      </c>
      <c r="J39" s="695">
        <f t="shared" si="0"/>
        <v>6451</v>
      </c>
      <c r="K39" s="650">
        <f t="shared" si="2"/>
        <v>0.60009302325581393</v>
      </c>
    </row>
    <row r="40" spans="1:11" ht="24.95" customHeight="1">
      <c r="A40" s="701" t="s">
        <v>2435</v>
      </c>
      <c r="B40" s="705" t="s">
        <v>2436</v>
      </c>
      <c r="C40" s="698"/>
      <c r="D40" s="698"/>
      <c r="E40" s="694" t="e">
        <f t="shared" si="1"/>
        <v>#DIV/0!</v>
      </c>
      <c r="F40" s="698">
        <v>4215</v>
      </c>
      <c r="G40" s="698">
        <v>2151</v>
      </c>
      <c r="H40" s="703"/>
      <c r="I40" s="693">
        <f t="shared" si="0"/>
        <v>4215</v>
      </c>
      <c r="J40" s="695">
        <f t="shared" si="0"/>
        <v>2151</v>
      </c>
      <c r="K40" s="650">
        <f t="shared" si="2"/>
        <v>0.5103202846975089</v>
      </c>
    </row>
    <row r="41" spans="1:11" ht="24.95" customHeight="1">
      <c r="A41" s="701" t="s">
        <v>2437</v>
      </c>
      <c r="B41" s="707" t="s">
        <v>2438</v>
      </c>
      <c r="C41" s="698"/>
      <c r="D41" s="698"/>
      <c r="E41" s="694" t="e">
        <f t="shared" si="1"/>
        <v>#DIV/0!</v>
      </c>
      <c r="F41" s="698">
        <v>930</v>
      </c>
      <c r="G41" s="698"/>
      <c r="H41" s="703"/>
      <c r="I41" s="693">
        <f t="shared" ref="I41:J72" si="3">+C41+F41</f>
        <v>930</v>
      </c>
      <c r="J41" s="695">
        <f t="shared" si="3"/>
        <v>0</v>
      </c>
      <c r="K41" s="650">
        <f t="shared" si="2"/>
        <v>0</v>
      </c>
    </row>
    <row r="42" spans="1:11" ht="24.95" customHeight="1">
      <c r="A42" s="701" t="s">
        <v>2439</v>
      </c>
      <c r="B42" s="707" t="s">
        <v>2440</v>
      </c>
      <c r="C42" s="698"/>
      <c r="D42" s="698"/>
      <c r="E42" s="694" t="e">
        <f t="shared" si="1"/>
        <v>#DIV/0!</v>
      </c>
      <c r="F42" s="698">
        <v>7400</v>
      </c>
      <c r="G42" s="698">
        <v>4296</v>
      </c>
      <c r="H42" s="703"/>
      <c r="I42" s="693">
        <f t="shared" si="3"/>
        <v>7400</v>
      </c>
      <c r="J42" s="695">
        <f t="shared" si="3"/>
        <v>4296</v>
      </c>
      <c r="K42" s="650">
        <f t="shared" si="2"/>
        <v>0.5805405405405405</v>
      </c>
    </row>
    <row r="43" spans="1:11" ht="24.95" customHeight="1">
      <c r="A43" s="701" t="s">
        <v>2441</v>
      </c>
      <c r="B43" s="707" t="s">
        <v>2442</v>
      </c>
      <c r="C43" s="698"/>
      <c r="D43" s="698"/>
      <c r="E43" s="694" t="e">
        <f t="shared" si="1"/>
        <v>#DIV/0!</v>
      </c>
      <c r="F43" s="698">
        <v>5</v>
      </c>
      <c r="G43" s="698"/>
      <c r="H43" s="703"/>
      <c r="I43" s="693">
        <f t="shared" si="3"/>
        <v>5</v>
      </c>
      <c r="J43" s="695">
        <f t="shared" si="3"/>
        <v>0</v>
      </c>
      <c r="K43" s="650">
        <f t="shared" si="2"/>
        <v>0</v>
      </c>
    </row>
    <row r="44" spans="1:11" ht="24.95" customHeight="1">
      <c r="A44" s="701" t="s">
        <v>2443</v>
      </c>
      <c r="B44" s="705" t="s">
        <v>2444</v>
      </c>
      <c r="C44" s="698"/>
      <c r="D44" s="698"/>
      <c r="E44" s="694" t="e">
        <f t="shared" si="1"/>
        <v>#DIV/0!</v>
      </c>
      <c r="F44" s="698">
        <v>3</v>
      </c>
      <c r="G44" s="698"/>
      <c r="H44" s="703"/>
      <c r="I44" s="693">
        <f t="shared" si="3"/>
        <v>3</v>
      </c>
      <c r="J44" s="695">
        <f t="shared" si="3"/>
        <v>0</v>
      </c>
      <c r="K44" s="650">
        <f t="shared" si="2"/>
        <v>0</v>
      </c>
    </row>
    <row r="45" spans="1:11" ht="24.95" customHeight="1">
      <c r="A45" s="701" t="s">
        <v>2445</v>
      </c>
      <c r="B45" s="716" t="s">
        <v>2446</v>
      </c>
      <c r="C45" s="698"/>
      <c r="D45" s="698"/>
      <c r="E45" s="694" t="e">
        <f t="shared" si="1"/>
        <v>#DIV/0!</v>
      </c>
      <c r="F45" s="698">
        <v>2</v>
      </c>
      <c r="G45" s="698"/>
      <c r="H45" s="703"/>
      <c r="I45" s="693">
        <f t="shared" si="3"/>
        <v>2</v>
      </c>
      <c r="J45" s="695">
        <f t="shared" si="3"/>
        <v>0</v>
      </c>
      <c r="K45" s="650">
        <f t="shared" si="2"/>
        <v>0</v>
      </c>
    </row>
    <row r="46" spans="1:11" ht="24.95" customHeight="1">
      <c r="A46" s="701" t="s">
        <v>2447</v>
      </c>
      <c r="B46" s="716" t="s">
        <v>2448</v>
      </c>
      <c r="C46" s="698"/>
      <c r="D46" s="698"/>
      <c r="E46" s="694" t="e">
        <f t="shared" si="1"/>
        <v>#DIV/0!</v>
      </c>
      <c r="F46" s="698">
        <v>0</v>
      </c>
      <c r="G46" s="698"/>
      <c r="H46" s="703"/>
      <c r="I46" s="693">
        <f t="shared" si="3"/>
        <v>0</v>
      </c>
      <c r="J46" s="695">
        <f t="shared" si="3"/>
        <v>0</v>
      </c>
      <c r="K46" s="650" t="e">
        <f t="shared" si="2"/>
        <v>#DIV/0!</v>
      </c>
    </row>
    <row r="47" spans="1:11" ht="24.95" customHeight="1">
      <c r="A47" s="701" t="s">
        <v>2449</v>
      </c>
      <c r="B47" s="704" t="s">
        <v>2450</v>
      </c>
      <c r="C47" s="698"/>
      <c r="D47" s="698"/>
      <c r="E47" s="694" t="e">
        <f t="shared" si="1"/>
        <v>#DIV/0!</v>
      </c>
      <c r="F47" s="698">
        <v>395</v>
      </c>
      <c r="G47" s="698">
        <v>200</v>
      </c>
      <c r="H47" s="703"/>
      <c r="I47" s="693">
        <f t="shared" si="3"/>
        <v>395</v>
      </c>
      <c r="J47" s="695">
        <f t="shared" si="3"/>
        <v>200</v>
      </c>
      <c r="K47" s="650">
        <f t="shared" si="2"/>
        <v>0.50632911392405067</v>
      </c>
    </row>
    <row r="48" spans="1:11" ht="24.95" customHeight="1">
      <c r="A48" s="701" t="s">
        <v>2451</v>
      </c>
      <c r="B48" s="704" t="s">
        <v>2452</v>
      </c>
      <c r="C48" s="698"/>
      <c r="D48" s="698"/>
      <c r="E48" s="694" t="e">
        <f t="shared" si="1"/>
        <v>#DIV/0!</v>
      </c>
      <c r="F48" s="699">
        <v>170</v>
      </c>
      <c r="G48" s="699">
        <v>7</v>
      </c>
      <c r="H48" s="700"/>
      <c r="I48" s="693">
        <f t="shared" si="3"/>
        <v>170</v>
      </c>
      <c r="J48" s="695">
        <f t="shared" si="3"/>
        <v>7</v>
      </c>
      <c r="K48" s="650">
        <f t="shared" si="2"/>
        <v>4.1176470588235294E-2</v>
      </c>
    </row>
    <row r="49" spans="1:11" ht="24.95" customHeight="1">
      <c r="A49" s="701" t="s">
        <v>2453</v>
      </c>
      <c r="B49" s="704" t="s">
        <v>2454</v>
      </c>
      <c r="C49" s="698"/>
      <c r="D49" s="698"/>
      <c r="E49" s="694" t="e">
        <f t="shared" si="1"/>
        <v>#DIV/0!</v>
      </c>
      <c r="F49" s="698">
        <v>150</v>
      </c>
      <c r="G49" s="698">
        <v>240</v>
      </c>
      <c r="H49" s="703"/>
      <c r="I49" s="693">
        <f t="shared" si="3"/>
        <v>150</v>
      </c>
      <c r="J49" s="695">
        <f t="shared" si="3"/>
        <v>240</v>
      </c>
      <c r="K49" s="650">
        <f t="shared" si="2"/>
        <v>1.6</v>
      </c>
    </row>
    <row r="50" spans="1:11" ht="24.95" customHeight="1">
      <c r="A50" s="701" t="s">
        <v>2455</v>
      </c>
      <c r="B50" s="704" t="s">
        <v>2456</v>
      </c>
      <c r="C50" s="698"/>
      <c r="D50" s="698"/>
      <c r="E50" s="694" t="e">
        <f t="shared" si="1"/>
        <v>#DIV/0!</v>
      </c>
      <c r="F50" s="698">
        <v>4000</v>
      </c>
      <c r="G50" s="698">
        <v>2155</v>
      </c>
      <c r="H50" s="703"/>
      <c r="I50" s="693">
        <f t="shared" si="3"/>
        <v>4000</v>
      </c>
      <c r="J50" s="695">
        <f t="shared" si="3"/>
        <v>2155</v>
      </c>
      <c r="K50" s="650">
        <f t="shared" si="2"/>
        <v>0.53874999999999995</v>
      </c>
    </row>
    <row r="51" spans="1:11" ht="24.95" customHeight="1">
      <c r="A51" s="701" t="s">
        <v>2457</v>
      </c>
      <c r="B51" s="704" t="s">
        <v>2458</v>
      </c>
      <c r="C51" s="698"/>
      <c r="D51" s="698"/>
      <c r="E51" s="694" t="e">
        <f t="shared" si="1"/>
        <v>#DIV/0!</v>
      </c>
      <c r="F51" s="698"/>
      <c r="G51" s="698"/>
      <c r="H51" s="703"/>
      <c r="I51" s="693">
        <f t="shared" si="3"/>
        <v>0</v>
      </c>
      <c r="J51" s="695">
        <f t="shared" si="3"/>
        <v>0</v>
      </c>
      <c r="K51" s="650" t="e">
        <f t="shared" si="2"/>
        <v>#DIV/0!</v>
      </c>
    </row>
    <row r="52" spans="1:11" ht="24.95" customHeight="1">
      <c r="A52" s="432" t="s">
        <v>2459</v>
      </c>
      <c r="B52" s="704" t="s">
        <v>2460</v>
      </c>
      <c r="C52" s="698">
        <v>15</v>
      </c>
      <c r="D52" s="698">
        <v>10</v>
      </c>
      <c r="E52" s="694">
        <f t="shared" si="1"/>
        <v>0.66666666666666663</v>
      </c>
      <c r="F52" s="698">
        <v>1030</v>
      </c>
      <c r="G52" s="698">
        <f>17+45</f>
        <v>62</v>
      </c>
      <c r="H52" s="703"/>
      <c r="I52" s="693">
        <f t="shared" si="3"/>
        <v>1045</v>
      </c>
      <c r="J52" s="695">
        <f t="shared" si="3"/>
        <v>72</v>
      </c>
      <c r="K52" s="650">
        <f t="shared" si="2"/>
        <v>6.8899521531100474E-2</v>
      </c>
    </row>
    <row r="53" spans="1:11" ht="24.95" customHeight="1">
      <c r="A53" s="432" t="s">
        <v>2461</v>
      </c>
      <c r="B53" s="704" t="s">
        <v>2462</v>
      </c>
      <c r="C53" s="698"/>
      <c r="D53" s="698"/>
      <c r="E53" s="694" t="e">
        <f t="shared" si="1"/>
        <v>#DIV/0!</v>
      </c>
      <c r="F53" s="699">
        <v>45</v>
      </c>
      <c r="G53" s="699"/>
      <c r="H53" s="700"/>
      <c r="I53" s="693">
        <f t="shared" si="3"/>
        <v>45</v>
      </c>
      <c r="J53" s="695">
        <f t="shared" si="3"/>
        <v>0</v>
      </c>
      <c r="K53" s="650">
        <f t="shared" si="2"/>
        <v>0</v>
      </c>
    </row>
    <row r="54" spans="1:11" ht="24.95" customHeight="1">
      <c r="A54" s="432" t="s">
        <v>2463</v>
      </c>
      <c r="B54" s="704" t="s">
        <v>2464</v>
      </c>
      <c r="C54" s="698"/>
      <c r="D54" s="698"/>
      <c r="E54" s="694" t="e">
        <f t="shared" si="1"/>
        <v>#DIV/0!</v>
      </c>
      <c r="F54" s="699">
        <v>0</v>
      </c>
      <c r="G54" s="699"/>
      <c r="H54" s="700"/>
      <c r="I54" s="693">
        <f t="shared" si="3"/>
        <v>0</v>
      </c>
      <c r="J54" s="695">
        <f t="shared" si="3"/>
        <v>0</v>
      </c>
      <c r="K54" s="650" t="e">
        <f t="shared" si="2"/>
        <v>#DIV/0!</v>
      </c>
    </row>
    <row r="55" spans="1:11" ht="24.95" customHeight="1">
      <c r="A55" s="701" t="s">
        <v>2465</v>
      </c>
      <c r="B55" s="704" t="s">
        <v>2466</v>
      </c>
      <c r="C55" s="698"/>
      <c r="D55" s="698"/>
      <c r="E55" s="694" t="e">
        <f t="shared" si="1"/>
        <v>#DIV/0!</v>
      </c>
      <c r="F55" s="698">
        <v>0</v>
      </c>
      <c r="G55" s="698"/>
      <c r="H55" s="703"/>
      <c r="I55" s="693">
        <f t="shared" si="3"/>
        <v>0</v>
      </c>
      <c r="J55" s="695">
        <f t="shared" si="3"/>
        <v>0</v>
      </c>
      <c r="K55" s="650" t="e">
        <f t="shared" si="2"/>
        <v>#DIV/0!</v>
      </c>
    </row>
    <row r="56" spans="1:11" ht="24.95" customHeight="1">
      <c r="A56" s="701" t="s">
        <v>2467</v>
      </c>
      <c r="B56" s="704" t="s">
        <v>2468</v>
      </c>
      <c r="C56" s="698"/>
      <c r="D56" s="698"/>
      <c r="E56" s="694" t="e">
        <f t="shared" si="1"/>
        <v>#DIV/0!</v>
      </c>
      <c r="F56" s="699">
        <v>3</v>
      </c>
      <c r="G56" s="699">
        <v>7</v>
      </c>
      <c r="H56" s="700"/>
      <c r="I56" s="693">
        <f t="shared" si="3"/>
        <v>3</v>
      </c>
      <c r="J56" s="695">
        <f t="shared" si="3"/>
        <v>7</v>
      </c>
      <c r="K56" s="650">
        <f t="shared" si="2"/>
        <v>2.3333333333333335</v>
      </c>
    </row>
    <row r="57" spans="1:11" ht="24.95" customHeight="1">
      <c r="A57" s="701" t="s">
        <v>2469</v>
      </c>
      <c r="B57" s="704" t="s">
        <v>2470</v>
      </c>
      <c r="C57" s="698"/>
      <c r="D57" s="698"/>
      <c r="E57" s="694" t="e">
        <f t="shared" si="1"/>
        <v>#DIV/0!</v>
      </c>
      <c r="F57" s="698">
        <v>1500</v>
      </c>
      <c r="G57" s="698">
        <f>1+1005</f>
        <v>1006</v>
      </c>
      <c r="H57" s="703"/>
      <c r="I57" s="693">
        <f t="shared" si="3"/>
        <v>1500</v>
      </c>
      <c r="J57" s="695">
        <f t="shared" si="3"/>
        <v>1006</v>
      </c>
      <c r="K57" s="650">
        <f t="shared" si="2"/>
        <v>0.67066666666666663</v>
      </c>
    </row>
    <row r="58" spans="1:11" ht="24.95" customHeight="1">
      <c r="A58" s="701" t="s">
        <v>2471</v>
      </c>
      <c r="B58" s="704" t="s">
        <v>2472</v>
      </c>
      <c r="C58" s="698"/>
      <c r="D58" s="698"/>
      <c r="E58" s="694" t="e">
        <f t="shared" si="1"/>
        <v>#DIV/0!</v>
      </c>
      <c r="F58" s="698">
        <v>450</v>
      </c>
      <c r="G58" s="698">
        <f>4+16</f>
        <v>20</v>
      </c>
      <c r="H58" s="703"/>
      <c r="I58" s="693">
        <f t="shared" si="3"/>
        <v>450</v>
      </c>
      <c r="J58" s="695">
        <f t="shared" si="3"/>
        <v>20</v>
      </c>
      <c r="K58" s="650">
        <f t="shared" si="2"/>
        <v>4.4444444444444446E-2</v>
      </c>
    </row>
    <row r="59" spans="1:11" ht="24.95" customHeight="1">
      <c r="A59" s="701" t="s">
        <v>2473</v>
      </c>
      <c r="B59" s="704" t="s">
        <v>2474</v>
      </c>
      <c r="C59" s="698"/>
      <c r="D59" s="698"/>
      <c r="E59" s="694" t="e">
        <f t="shared" si="1"/>
        <v>#DIV/0!</v>
      </c>
      <c r="F59" s="698">
        <v>3</v>
      </c>
      <c r="G59" s="698"/>
      <c r="H59" s="703"/>
      <c r="I59" s="693">
        <f t="shared" si="3"/>
        <v>3</v>
      </c>
      <c r="J59" s="695">
        <f t="shared" si="3"/>
        <v>0</v>
      </c>
      <c r="K59" s="650">
        <f t="shared" si="2"/>
        <v>0</v>
      </c>
    </row>
    <row r="60" spans="1:11" ht="24.95" customHeight="1">
      <c r="A60" s="701" t="s">
        <v>2475</v>
      </c>
      <c r="B60" s="704" t="s">
        <v>2476</v>
      </c>
      <c r="C60" s="698"/>
      <c r="D60" s="698"/>
      <c r="E60" s="694" t="e">
        <f t="shared" si="1"/>
        <v>#DIV/0!</v>
      </c>
      <c r="F60" s="698">
        <v>70</v>
      </c>
      <c r="G60" s="698">
        <v>3</v>
      </c>
      <c r="H60" s="703"/>
      <c r="I60" s="693">
        <f t="shared" si="3"/>
        <v>70</v>
      </c>
      <c r="J60" s="695">
        <f t="shared" si="3"/>
        <v>3</v>
      </c>
      <c r="K60" s="650">
        <f t="shared" si="2"/>
        <v>4.2857142857142858E-2</v>
      </c>
    </row>
    <row r="61" spans="1:11" ht="24.95" customHeight="1">
      <c r="A61" s="701" t="s">
        <v>2477</v>
      </c>
      <c r="B61" s="704" t="s">
        <v>2478</v>
      </c>
      <c r="C61" s="698"/>
      <c r="D61" s="698"/>
      <c r="E61" s="694" t="e">
        <f t="shared" si="1"/>
        <v>#DIV/0!</v>
      </c>
      <c r="F61" s="698">
        <v>0</v>
      </c>
      <c r="G61" s="698"/>
      <c r="H61" s="703"/>
      <c r="I61" s="693">
        <f t="shared" si="3"/>
        <v>0</v>
      </c>
      <c r="J61" s="695">
        <f t="shared" si="3"/>
        <v>0</v>
      </c>
      <c r="K61" s="650" t="e">
        <f t="shared" si="2"/>
        <v>#DIV/0!</v>
      </c>
    </row>
    <row r="62" spans="1:11" ht="24.95" customHeight="1">
      <c r="A62" s="701" t="s">
        <v>2479</v>
      </c>
      <c r="B62" s="704" t="s">
        <v>2480</v>
      </c>
      <c r="C62" s="698"/>
      <c r="D62" s="698"/>
      <c r="E62" s="694" t="e">
        <f t="shared" si="1"/>
        <v>#DIV/0!</v>
      </c>
      <c r="F62" s="698"/>
      <c r="G62" s="698">
        <v>44</v>
      </c>
      <c r="H62" s="703"/>
      <c r="I62" s="693">
        <f t="shared" si="3"/>
        <v>0</v>
      </c>
      <c r="J62" s="695">
        <f t="shared" si="3"/>
        <v>44</v>
      </c>
      <c r="K62" s="650" t="e">
        <f t="shared" si="2"/>
        <v>#DIV/0!</v>
      </c>
    </row>
    <row r="63" spans="1:11" ht="24.95" customHeight="1">
      <c r="A63" s="701" t="s">
        <v>2481</v>
      </c>
      <c r="B63" s="704" t="s">
        <v>2482</v>
      </c>
      <c r="C63" s="698"/>
      <c r="D63" s="698"/>
      <c r="E63" s="694" t="e">
        <f t="shared" si="1"/>
        <v>#DIV/0!</v>
      </c>
      <c r="F63" s="698">
        <v>110</v>
      </c>
      <c r="G63" s="698">
        <v>44</v>
      </c>
      <c r="H63" s="703"/>
      <c r="I63" s="693">
        <f t="shared" si="3"/>
        <v>110</v>
      </c>
      <c r="J63" s="695">
        <f t="shared" si="3"/>
        <v>44</v>
      </c>
      <c r="K63" s="650">
        <f t="shared" si="2"/>
        <v>0.4</v>
      </c>
    </row>
    <row r="64" spans="1:11" s="719" customFormat="1" ht="24.95" customHeight="1">
      <c r="A64" s="701" t="s">
        <v>2481</v>
      </c>
      <c r="B64" s="704" t="s">
        <v>2483</v>
      </c>
      <c r="C64" s="698"/>
      <c r="D64" s="698"/>
      <c r="E64" s="694" t="e">
        <f t="shared" si="1"/>
        <v>#DIV/0!</v>
      </c>
      <c r="F64" s="698">
        <v>5</v>
      </c>
      <c r="G64" s="698"/>
      <c r="H64" s="703"/>
      <c r="I64" s="693">
        <f t="shared" si="3"/>
        <v>5</v>
      </c>
      <c r="J64" s="717">
        <f t="shared" si="3"/>
        <v>0</v>
      </c>
      <c r="K64" s="718">
        <f t="shared" si="2"/>
        <v>0</v>
      </c>
    </row>
    <row r="65" spans="1:11" ht="24.95" customHeight="1">
      <c r="A65" s="701" t="s">
        <v>2484</v>
      </c>
      <c r="B65" s="704" t="s">
        <v>2485</v>
      </c>
      <c r="C65" s="698"/>
      <c r="D65" s="698"/>
      <c r="E65" s="694" t="e">
        <f t="shared" si="1"/>
        <v>#DIV/0!</v>
      </c>
      <c r="F65" s="698">
        <v>20</v>
      </c>
      <c r="G65" s="698"/>
      <c r="H65" s="703"/>
      <c r="I65" s="693">
        <f t="shared" si="3"/>
        <v>20</v>
      </c>
      <c r="J65" s="695">
        <f t="shared" si="3"/>
        <v>0</v>
      </c>
      <c r="K65" s="650">
        <f t="shared" si="2"/>
        <v>0</v>
      </c>
    </row>
    <row r="66" spans="1:11" ht="24.95" customHeight="1">
      <c r="A66" s="701" t="s">
        <v>2486</v>
      </c>
      <c r="B66" s="704" t="s">
        <v>2487</v>
      </c>
      <c r="C66" s="698">
        <v>1</v>
      </c>
      <c r="D66" s="698"/>
      <c r="E66" s="694">
        <f t="shared" si="1"/>
        <v>0</v>
      </c>
      <c r="F66" s="698">
        <v>310</v>
      </c>
      <c r="G66" s="698">
        <v>10</v>
      </c>
      <c r="H66" s="703"/>
      <c r="I66" s="693">
        <f t="shared" si="3"/>
        <v>311</v>
      </c>
      <c r="J66" s="695">
        <f t="shared" si="3"/>
        <v>10</v>
      </c>
      <c r="K66" s="650">
        <f t="shared" si="2"/>
        <v>3.215434083601286E-2</v>
      </c>
    </row>
    <row r="67" spans="1:11" ht="24.95" customHeight="1">
      <c r="A67" s="701" t="s">
        <v>2488</v>
      </c>
      <c r="B67" s="702" t="s">
        <v>2489</v>
      </c>
      <c r="C67" s="698">
        <v>3</v>
      </c>
      <c r="D67" s="698">
        <v>1</v>
      </c>
      <c r="E67" s="694">
        <f t="shared" si="1"/>
        <v>0.33333333333333331</v>
      </c>
      <c r="F67" s="698">
        <v>750</v>
      </c>
      <c r="G67" s="698">
        <v>221</v>
      </c>
      <c r="H67" s="703"/>
      <c r="I67" s="693">
        <f t="shared" si="3"/>
        <v>753</v>
      </c>
      <c r="J67" s="695">
        <f t="shared" si="3"/>
        <v>222</v>
      </c>
      <c r="K67" s="650">
        <f t="shared" si="2"/>
        <v>0.29482071713147412</v>
      </c>
    </row>
    <row r="68" spans="1:11" ht="24.95" customHeight="1">
      <c r="A68" s="715" t="s">
        <v>2490</v>
      </c>
      <c r="B68" s="720" t="s">
        <v>2491</v>
      </c>
      <c r="C68" s="698"/>
      <c r="D68" s="698"/>
      <c r="E68" s="694" t="e">
        <f t="shared" si="1"/>
        <v>#DIV/0!</v>
      </c>
      <c r="F68" s="699">
        <v>2</v>
      </c>
      <c r="G68" s="699"/>
      <c r="H68" s="700"/>
      <c r="I68" s="693">
        <f t="shared" si="3"/>
        <v>2</v>
      </c>
      <c r="J68" s="695">
        <f t="shared" si="3"/>
        <v>0</v>
      </c>
      <c r="K68" s="650">
        <f t="shared" si="2"/>
        <v>0</v>
      </c>
    </row>
    <row r="69" spans="1:11" ht="24.95" customHeight="1">
      <c r="A69" s="721" t="s">
        <v>2492</v>
      </c>
      <c r="B69" s="720" t="s">
        <v>2493</v>
      </c>
      <c r="C69" s="698"/>
      <c r="D69" s="698"/>
      <c r="E69" s="694" t="e">
        <f t="shared" si="1"/>
        <v>#DIV/0!</v>
      </c>
      <c r="F69" s="699">
        <v>1</v>
      </c>
      <c r="G69" s="699"/>
      <c r="H69" s="700"/>
      <c r="I69" s="693">
        <f t="shared" si="3"/>
        <v>1</v>
      </c>
      <c r="J69" s="695">
        <f t="shared" si="3"/>
        <v>0</v>
      </c>
      <c r="K69" s="650">
        <f t="shared" si="2"/>
        <v>0</v>
      </c>
    </row>
    <row r="70" spans="1:11" ht="24.95" customHeight="1">
      <c r="A70" s="701" t="s">
        <v>2494</v>
      </c>
      <c r="B70" s="704" t="s">
        <v>2495</v>
      </c>
      <c r="C70" s="698"/>
      <c r="D70" s="698"/>
      <c r="E70" s="694" t="e">
        <f t="shared" si="1"/>
        <v>#DIV/0!</v>
      </c>
      <c r="F70" s="698">
        <v>15</v>
      </c>
      <c r="G70" s="698">
        <v>11</v>
      </c>
      <c r="H70" s="703"/>
      <c r="I70" s="693">
        <f t="shared" si="3"/>
        <v>15</v>
      </c>
      <c r="J70" s="695">
        <f t="shared" si="3"/>
        <v>11</v>
      </c>
      <c r="K70" s="650">
        <f t="shared" si="2"/>
        <v>0.73333333333333328</v>
      </c>
    </row>
    <row r="71" spans="1:11" ht="24.95" customHeight="1">
      <c r="A71" s="701" t="s">
        <v>2496</v>
      </c>
      <c r="B71" s="704" t="s">
        <v>2497</v>
      </c>
      <c r="C71" s="698"/>
      <c r="D71" s="698"/>
      <c r="E71" s="694" t="e">
        <f t="shared" si="1"/>
        <v>#DIV/0!</v>
      </c>
      <c r="F71" s="698">
        <v>5</v>
      </c>
      <c r="G71" s="698"/>
      <c r="H71" s="703"/>
      <c r="I71" s="693">
        <f t="shared" si="3"/>
        <v>5</v>
      </c>
      <c r="J71" s="695">
        <f t="shared" si="3"/>
        <v>0</v>
      </c>
      <c r="K71" s="650">
        <f t="shared" si="2"/>
        <v>0</v>
      </c>
    </row>
    <row r="72" spans="1:11" ht="24.95" customHeight="1">
      <c r="A72" s="701" t="s">
        <v>2498</v>
      </c>
      <c r="B72" s="704" t="s">
        <v>2499</v>
      </c>
      <c r="C72" s="698"/>
      <c r="D72" s="698"/>
      <c r="E72" s="694" t="e">
        <f t="shared" si="1"/>
        <v>#DIV/0!</v>
      </c>
      <c r="F72" s="698">
        <v>15</v>
      </c>
      <c r="G72" s="698">
        <v>13</v>
      </c>
      <c r="H72" s="703"/>
      <c r="I72" s="693">
        <f t="shared" si="3"/>
        <v>15</v>
      </c>
      <c r="J72" s="695">
        <f t="shared" si="3"/>
        <v>13</v>
      </c>
      <c r="K72" s="650">
        <f t="shared" si="2"/>
        <v>0.8666666666666667</v>
      </c>
    </row>
    <row r="73" spans="1:11" ht="24.95" customHeight="1">
      <c r="A73" s="701" t="s">
        <v>2500</v>
      </c>
      <c r="B73" s="704" t="s">
        <v>2501</v>
      </c>
      <c r="C73" s="698"/>
      <c r="D73" s="698"/>
      <c r="E73" s="694" t="e">
        <f t="shared" si="1"/>
        <v>#DIV/0!</v>
      </c>
      <c r="F73" s="698">
        <v>2</v>
      </c>
      <c r="G73" s="698">
        <v>1</v>
      </c>
      <c r="H73" s="703"/>
      <c r="I73" s="693">
        <f t="shared" ref="I73:J104" si="4">+C73+F73</f>
        <v>2</v>
      </c>
      <c r="J73" s="695">
        <f t="shared" si="4"/>
        <v>1</v>
      </c>
      <c r="K73" s="650">
        <f t="shared" si="2"/>
        <v>0.5</v>
      </c>
    </row>
    <row r="74" spans="1:11" ht="24.95" customHeight="1">
      <c r="A74" s="701" t="s">
        <v>2502</v>
      </c>
      <c r="B74" s="704" t="s">
        <v>2503</v>
      </c>
      <c r="C74" s="698"/>
      <c r="D74" s="698"/>
      <c r="E74" s="694" t="e">
        <f t="shared" ref="E74:E137" si="5">+D74/C74</f>
        <v>#DIV/0!</v>
      </c>
      <c r="F74" s="698">
        <v>3</v>
      </c>
      <c r="G74" s="698"/>
      <c r="H74" s="703"/>
      <c r="I74" s="693">
        <f t="shared" si="4"/>
        <v>3</v>
      </c>
      <c r="J74" s="695">
        <f t="shared" si="4"/>
        <v>0</v>
      </c>
      <c r="K74" s="650">
        <f t="shared" ref="K74:K137" si="6">+J74/I74</f>
        <v>0</v>
      </c>
    </row>
    <row r="75" spans="1:11" ht="24.95" customHeight="1">
      <c r="A75" s="701" t="s">
        <v>2504</v>
      </c>
      <c r="B75" s="704" t="s">
        <v>2505</v>
      </c>
      <c r="C75" s="698"/>
      <c r="D75" s="698"/>
      <c r="E75" s="694" t="e">
        <f t="shared" si="5"/>
        <v>#DIV/0!</v>
      </c>
      <c r="F75" s="698">
        <v>30</v>
      </c>
      <c r="G75" s="698">
        <v>15</v>
      </c>
      <c r="H75" s="703"/>
      <c r="I75" s="693">
        <f t="shared" si="4"/>
        <v>30</v>
      </c>
      <c r="J75" s="695">
        <f t="shared" si="4"/>
        <v>15</v>
      </c>
      <c r="K75" s="650">
        <f t="shared" si="6"/>
        <v>0.5</v>
      </c>
    </row>
    <row r="76" spans="1:11" ht="24.95" customHeight="1">
      <c r="A76" s="432" t="s">
        <v>2506</v>
      </c>
      <c r="B76" s="704" t="s">
        <v>2507</v>
      </c>
      <c r="C76" s="698"/>
      <c r="D76" s="698"/>
      <c r="E76" s="694" t="e">
        <f t="shared" si="5"/>
        <v>#DIV/0!</v>
      </c>
      <c r="F76" s="699">
        <v>60</v>
      </c>
      <c r="G76" s="699">
        <v>13</v>
      </c>
      <c r="H76" s="700"/>
      <c r="I76" s="693">
        <f t="shared" si="4"/>
        <v>60</v>
      </c>
      <c r="J76" s="695">
        <f t="shared" si="4"/>
        <v>13</v>
      </c>
      <c r="K76" s="650">
        <f t="shared" si="6"/>
        <v>0.21666666666666667</v>
      </c>
    </row>
    <row r="77" spans="1:11" ht="24.95" customHeight="1">
      <c r="A77" s="432" t="s">
        <v>2508</v>
      </c>
      <c r="B77" s="704" t="s">
        <v>2509</v>
      </c>
      <c r="C77" s="698"/>
      <c r="D77" s="698"/>
      <c r="E77" s="694" t="e">
        <f t="shared" si="5"/>
        <v>#DIV/0!</v>
      </c>
      <c r="F77" s="699">
        <v>100</v>
      </c>
      <c r="G77" s="699">
        <v>63</v>
      </c>
      <c r="H77" s="700"/>
      <c r="I77" s="693">
        <f t="shared" si="4"/>
        <v>100</v>
      </c>
      <c r="J77" s="695">
        <f t="shared" si="4"/>
        <v>63</v>
      </c>
      <c r="K77" s="650">
        <f t="shared" si="6"/>
        <v>0.63</v>
      </c>
    </row>
    <row r="78" spans="1:11" ht="24.95" customHeight="1">
      <c r="A78" s="432" t="s">
        <v>2510</v>
      </c>
      <c r="B78" s="704" t="s">
        <v>2511</v>
      </c>
      <c r="C78" s="698"/>
      <c r="D78" s="698"/>
      <c r="E78" s="694" t="e">
        <f t="shared" si="5"/>
        <v>#DIV/0!</v>
      </c>
      <c r="F78" s="698">
        <v>670</v>
      </c>
      <c r="G78" s="698">
        <f>56+57</f>
        <v>113</v>
      </c>
      <c r="H78" s="703"/>
      <c r="I78" s="693">
        <f t="shared" si="4"/>
        <v>670</v>
      </c>
      <c r="J78" s="695">
        <f t="shared" si="4"/>
        <v>113</v>
      </c>
      <c r="K78" s="650">
        <f t="shared" si="6"/>
        <v>0.16865671641791044</v>
      </c>
    </row>
    <row r="79" spans="1:11" ht="24.95" customHeight="1">
      <c r="A79" s="432" t="s">
        <v>2512</v>
      </c>
      <c r="B79" s="704" t="s">
        <v>2513</v>
      </c>
      <c r="C79" s="698"/>
      <c r="D79" s="698"/>
      <c r="E79" s="694" t="e">
        <f t="shared" si="5"/>
        <v>#DIV/0!</v>
      </c>
      <c r="F79" s="698">
        <v>125</v>
      </c>
      <c r="G79" s="698"/>
      <c r="H79" s="703"/>
      <c r="I79" s="693">
        <f t="shared" si="4"/>
        <v>125</v>
      </c>
      <c r="J79" s="695">
        <f t="shared" si="4"/>
        <v>0</v>
      </c>
      <c r="K79" s="650">
        <f t="shared" si="6"/>
        <v>0</v>
      </c>
    </row>
    <row r="80" spans="1:11" ht="24.95" customHeight="1">
      <c r="A80" s="432" t="s">
        <v>2514</v>
      </c>
      <c r="B80" s="704" t="s">
        <v>2515</v>
      </c>
      <c r="C80" s="698"/>
      <c r="D80" s="698"/>
      <c r="E80" s="694" t="e">
        <f t="shared" si="5"/>
        <v>#DIV/0!</v>
      </c>
      <c r="F80" s="698">
        <v>760</v>
      </c>
      <c r="G80" s="698">
        <f>14+134</f>
        <v>148</v>
      </c>
      <c r="H80" s="703"/>
      <c r="I80" s="693">
        <f t="shared" si="4"/>
        <v>760</v>
      </c>
      <c r="J80" s="695">
        <f t="shared" si="4"/>
        <v>148</v>
      </c>
      <c r="K80" s="650">
        <f t="shared" si="6"/>
        <v>0.19473684210526315</v>
      </c>
    </row>
    <row r="81" spans="1:11" ht="24.95" customHeight="1">
      <c r="A81" s="432" t="s">
        <v>2516</v>
      </c>
      <c r="B81" s="704" t="s">
        <v>2517</v>
      </c>
      <c r="C81" s="698"/>
      <c r="D81" s="698"/>
      <c r="E81" s="694" t="e">
        <f t="shared" si="5"/>
        <v>#DIV/0!</v>
      </c>
      <c r="F81" s="698">
        <v>160</v>
      </c>
      <c r="G81" s="698"/>
      <c r="H81" s="703"/>
      <c r="I81" s="693">
        <f t="shared" si="4"/>
        <v>160</v>
      </c>
      <c r="J81" s="695">
        <f t="shared" si="4"/>
        <v>0</v>
      </c>
      <c r="K81" s="650">
        <f t="shared" si="6"/>
        <v>0</v>
      </c>
    </row>
    <row r="82" spans="1:11" ht="24.95" customHeight="1">
      <c r="A82" s="432" t="s">
        <v>2518</v>
      </c>
      <c r="B82" s="704" t="s">
        <v>2519</v>
      </c>
      <c r="C82" s="698"/>
      <c r="D82" s="698"/>
      <c r="E82" s="694" t="e">
        <f t="shared" si="5"/>
        <v>#DIV/0!</v>
      </c>
      <c r="F82" s="698">
        <v>50</v>
      </c>
      <c r="G82" s="698">
        <v>9</v>
      </c>
      <c r="H82" s="703"/>
      <c r="I82" s="693">
        <f t="shared" si="4"/>
        <v>50</v>
      </c>
      <c r="J82" s="695">
        <f t="shared" si="4"/>
        <v>9</v>
      </c>
      <c r="K82" s="650">
        <f t="shared" si="6"/>
        <v>0.18</v>
      </c>
    </row>
    <row r="83" spans="1:11" ht="24.95" customHeight="1">
      <c r="A83" s="715" t="s">
        <v>2520</v>
      </c>
      <c r="B83" s="720" t="s">
        <v>2521</v>
      </c>
      <c r="C83" s="698"/>
      <c r="D83" s="698"/>
      <c r="E83" s="694" t="e">
        <f t="shared" si="5"/>
        <v>#DIV/0!</v>
      </c>
      <c r="F83" s="699">
        <v>6</v>
      </c>
      <c r="G83" s="699"/>
      <c r="H83" s="700"/>
      <c r="I83" s="693">
        <f t="shared" si="4"/>
        <v>6</v>
      </c>
      <c r="J83" s="695">
        <f t="shared" si="4"/>
        <v>0</v>
      </c>
      <c r="K83" s="650">
        <f t="shared" si="6"/>
        <v>0</v>
      </c>
    </row>
    <row r="84" spans="1:11" ht="24.95" customHeight="1">
      <c r="A84" s="715" t="s">
        <v>2522</v>
      </c>
      <c r="B84" s="720" t="s">
        <v>2523</v>
      </c>
      <c r="C84" s="698"/>
      <c r="D84" s="698"/>
      <c r="E84" s="694" t="e">
        <f t="shared" si="5"/>
        <v>#DIV/0!</v>
      </c>
      <c r="F84" s="699">
        <v>1</v>
      </c>
      <c r="G84" s="699"/>
      <c r="H84" s="700"/>
      <c r="I84" s="693">
        <f t="shared" si="4"/>
        <v>1</v>
      </c>
      <c r="J84" s="695">
        <f t="shared" si="4"/>
        <v>0</v>
      </c>
      <c r="K84" s="650">
        <f t="shared" si="6"/>
        <v>0</v>
      </c>
    </row>
    <row r="85" spans="1:11" ht="24.95" customHeight="1">
      <c r="A85" s="715" t="s">
        <v>2524</v>
      </c>
      <c r="B85" s="720" t="s">
        <v>2525</v>
      </c>
      <c r="C85" s="698"/>
      <c r="D85" s="698"/>
      <c r="E85" s="694" t="e">
        <f t="shared" si="5"/>
        <v>#DIV/0!</v>
      </c>
      <c r="F85" s="699">
        <v>40</v>
      </c>
      <c r="G85" s="699"/>
      <c r="H85" s="700"/>
      <c r="I85" s="693">
        <f t="shared" si="4"/>
        <v>40</v>
      </c>
      <c r="J85" s="695">
        <f t="shared" si="4"/>
        <v>0</v>
      </c>
      <c r="K85" s="650">
        <f t="shared" si="6"/>
        <v>0</v>
      </c>
    </row>
    <row r="86" spans="1:11" ht="24.95" customHeight="1">
      <c r="A86" s="715" t="s">
        <v>2526</v>
      </c>
      <c r="B86" s="720" t="s">
        <v>2527</v>
      </c>
      <c r="C86" s="698"/>
      <c r="D86" s="698"/>
      <c r="E86" s="694" t="e">
        <f t="shared" si="5"/>
        <v>#DIV/0!</v>
      </c>
      <c r="F86" s="699">
        <v>0</v>
      </c>
      <c r="G86" s="699"/>
      <c r="H86" s="700"/>
      <c r="I86" s="693">
        <f t="shared" si="4"/>
        <v>0</v>
      </c>
      <c r="J86" s="695">
        <f t="shared" si="4"/>
        <v>0</v>
      </c>
      <c r="K86" s="650" t="e">
        <f t="shared" si="6"/>
        <v>#DIV/0!</v>
      </c>
    </row>
    <row r="87" spans="1:11" ht="24.95" customHeight="1">
      <c r="A87" s="715" t="s">
        <v>2528</v>
      </c>
      <c r="B87" s="720" t="s">
        <v>2529</v>
      </c>
      <c r="C87" s="698"/>
      <c r="D87" s="698"/>
      <c r="E87" s="694" t="e">
        <f t="shared" si="5"/>
        <v>#DIV/0!</v>
      </c>
      <c r="F87" s="699">
        <v>1</v>
      </c>
      <c r="G87" s="699"/>
      <c r="H87" s="700"/>
      <c r="I87" s="693">
        <f t="shared" si="4"/>
        <v>1</v>
      </c>
      <c r="J87" s="695">
        <f t="shared" si="4"/>
        <v>0</v>
      </c>
      <c r="K87" s="650">
        <f t="shared" si="6"/>
        <v>0</v>
      </c>
    </row>
    <row r="88" spans="1:11" ht="24.95" customHeight="1">
      <c r="A88" s="701" t="s">
        <v>2530</v>
      </c>
      <c r="B88" s="704" t="s">
        <v>2531</v>
      </c>
      <c r="C88" s="698"/>
      <c r="D88" s="698"/>
      <c r="E88" s="694" t="e">
        <f t="shared" si="5"/>
        <v>#DIV/0!</v>
      </c>
      <c r="F88" s="699">
        <v>20</v>
      </c>
      <c r="G88" s="699"/>
      <c r="H88" s="700"/>
      <c r="I88" s="693">
        <f t="shared" si="4"/>
        <v>20</v>
      </c>
      <c r="J88" s="695">
        <f t="shared" si="4"/>
        <v>0</v>
      </c>
      <c r="K88" s="650">
        <f t="shared" si="6"/>
        <v>0</v>
      </c>
    </row>
    <row r="89" spans="1:11" ht="24.95" customHeight="1">
      <c r="A89" s="701" t="s">
        <v>2532</v>
      </c>
      <c r="B89" s="704" t="s">
        <v>2533</v>
      </c>
      <c r="C89" s="698"/>
      <c r="D89" s="698"/>
      <c r="E89" s="694" t="e">
        <f t="shared" si="5"/>
        <v>#DIV/0!</v>
      </c>
      <c r="F89" s="699">
        <v>1</v>
      </c>
      <c r="G89" s="699"/>
      <c r="H89" s="700"/>
      <c r="I89" s="693">
        <f t="shared" si="4"/>
        <v>1</v>
      </c>
      <c r="J89" s="695">
        <f t="shared" si="4"/>
        <v>0</v>
      </c>
      <c r="K89" s="650">
        <f t="shared" si="6"/>
        <v>0</v>
      </c>
    </row>
    <row r="90" spans="1:11" ht="24.95" customHeight="1">
      <c r="A90" s="701" t="s">
        <v>2534</v>
      </c>
      <c r="B90" s="704" t="s">
        <v>2535</v>
      </c>
      <c r="C90" s="698"/>
      <c r="D90" s="698"/>
      <c r="E90" s="694" t="e">
        <f t="shared" si="5"/>
        <v>#DIV/0!</v>
      </c>
      <c r="F90" s="699">
        <v>20</v>
      </c>
      <c r="G90" s="699"/>
      <c r="H90" s="700"/>
      <c r="I90" s="693">
        <f t="shared" si="4"/>
        <v>20</v>
      </c>
      <c r="J90" s="695">
        <f t="shared" si="4"/>
        <v>0</v>
      </c>
      <c r="K90" s="650">
        <f t="shared" si="6"/>
        <v>0</v>
      </c>
    </row>
    <row r="91" spans="1:11" ht="24.95" customHeight="1">
      <c r="A91" s="701" t="s">
        <v>2536</v>
      </c>
      <c r="B91" s="704" t="s">
        <v>2537</v>
      </c>
      <c r="C91" s="698"/>
      <c r="D91" s="698"/>
      <c r="E91" s="694" t="e">
        <f t="shared" si="5"/>
        <v>#DIV/0!</v>
      </c>
      <c r="F91" s="699"/>
      <c r="G91" s="699"/>
      <c r="H91" s="700"/>
      <c r="I91" s="693">
        <f t="shared" si="4"/>
        <v>0</v>
      </c>
      <c r="J91" s="695">
        <f t="shared" si="4"/>
        <v>0</v>
      </c>
      <c r="K91" s="650" t="e">
        <f t="shared" si="6"/>
        <v>#DIV/0!</v>
      </c>
    </row>
    <row r="92" spans="1:11" ht="24.95" customHeight="1">
      <c r="A92" s="701" t="s">
        <v>2538</v>
      </c>
      <c r="B92" s="704" t="s">
        <v>2539</v>
      </c>
      <c r="C92" s="698"/>
      <c r="D92" s="698"/>
      <c r="E92" s="694" t="e">
        <f t="shared" si="5"/>
        <v>#DIV/0!</v>
      </c>
      <c r="F92" s="699">
        <v>1</v>
      </c>
      <c r="G92" s="699"/>
      <c r="H92" s="700"/>
      <c r="I92" s="693">
        <f t="shared" si="4"/>
        <v>1</v>
      </c>
      <c r="J92" s="695">
        <f t="shared" si="4"/>
        <v>0</v>
      </c>
      <c r="K92" s="650">
        <f t="shared" si="6"/>
        <v>0</v>
      </c>
    </row>
    <row r="93" spans="1:11" ht="24.95" customHeight="1">
      <c r="A93" s="701" t="s">
        <v>2540</v>
      </c>
      <c r="B93" s="704" t="s">
        <v>2541</v>
      </c>
      <c r="C93" s="698"/>
      <c r="D93" s="698"/>
      <c r="E93" s="694" t="e">
        <f t="shared" si="5"/>
        <v>#DIV/0!</v>
      </c>
      <c r="F93" s="699">
        <v>3</v>
      </c>
      <c r="G93" s="699"/>
      <c r="H93" s="700"/>
      <c r="I93" s="693">
        <f t="shared" si="4"/>
        <v>3</v>
      </c>
      <c r="J93" s="695">
        <f t="shared" si="4"/>
        <v>0</v>
      </c>
      <c r="K93" s="650">
        <f t="shared" si="6"/>
        <v>0</v>
      </c>
    </row>
    <row r="94" spans="1:11" ht="24.95" customHeight="1">
      <c r="A94" s="701" t="s">
        <v>2542</v>
      </c>
      <c r="B94" s="704" t="s">
        <v>2543</v>
      </c>
      <c r="C94" s="698"/>
      <c r="D94" s="698"/>
      <c r="E94" s="694" t="e">
        <f t="shared" si="5"/>
        <v>#DIV/0!</v>
      </c>
      <c r="F94" s="699">
        <v>10</v>
      </c>
      <c r="G94" s="699"/>
      <c r="H94" s="700"/>
      <c r="I94" s="693">
        <f t="shared" si="4"/>
        <v>10</v>
      </c>
      <c r="J94" s="695">
        <f t="shared" si="4"/>
        <v>0</v>
      </c>
      <c r="K94" s="650">
        <f t="shared" si="6"/>
        <v>0</v>
      </c>
    </row>
    <row r="95" spans="1:11" ht="24.95" customHeight="1">
      <c r="A95" s="701" t="s">
        <v>2544</v>
      </c>
      <c r="B95" s="704" t="s">
        <v>2545</v>
      </c>
      <c r="C95" s="698"/>
      <c r="D95" s="698"/>
      <c r="E95" s="694" t="e">
        <f t="shared" si="5"/>
        <v>#DIV/0!</v>
      </c>
      <c r="F95" s="699">
        <v>5</v>
      </c>
      <c r="G95" s="699"/>
      <c r="H95" s="700"/>
      <c r="I95" s="693">
        <f t="shared" si="4"/>
        <v>5</v>
      </c>
      <c r="J95" s="695">
        <f t="shared" si="4"/>
        <v>0</v>
      </c>
      <c r="K95" s="650">
        <f t="shared" si="6"/>
        <v>0</v>
      </c>
    </row>
    <row r="96" spans="1:11" ht="24.95" customHeight="1">
      <c r="A96" s="701" t="s">
        <v>2546</v>
      </c>
      <c r="B96" s="704" t="s">
        <v>2547</v>
      </c>
      <c r="C96" s="698"/>
      <c r="D96" s="698"/>
      <c r="E96" s="694" t="e">
        <f t="shared" si="5"/>
        <v>#DIV/0!</v>
      </c>
      <c r="F96" s="699">
        <v>3</v>
      </c>
      <c r="G96" s="699"/>
      <c r="H96" s="700"/>
      <c r="I96" s="693">
        <f t="shared" si="4"/>
        <v>3</v>
      </c>
      <c r="J96" s="695">
        <f t="shared" si="4"/>
        <v>0</v>
      </c>
      <c r="K96" s="650">
        <f t="shared" si="6"/>
        <v>0</v>
      </c>
    </row>
    <row r="97" spans="1:11" ht="24.95" customHeight="1">
      <c r="A97" s="477" t="s">
        <v>2548</v>
      </c>
      <c r="B97" s="722" t="s">
        <v>2549</v>
      </c>
      <c r="C97" s="723"/>
      <c r="D97" s="723"/>
      <c r="E97" s="694" t="e">
        <f t="shared" si="5"/>
        <v>#DIV/0!</v>
      </c>
      <c r="F97" s="724">
        <v>2</v>
      </c>
      <c r="G97" s="724"/>
      <c r="H97" s="725"/>
      <c r="I97" s="693">
        <f t="shared" si="4"/>
        <v>2</v>
      </c>
      <c r="J97" s="695">
        <f t="shared" si="4"/>
        <v>0</v>
      </c>
      <c r="K97" s="650">
        <f t="shared" si="6"/>
        <v>0</v>
      </c>
    </row>
    <row r="98" spans="1:11" ht="24.95" customHeight="1">
      <c r="A98" s="477" t="s">
        <v>2550</v>
      </c>
      <c r="B98" s="722" t="s">
        <v>2551</v>
      </c>
      <c r="C98" s="723"/>
      <c r="D98" s="723"/>
      <c r="E98" s="694" t="e">
        <f t="shared" si="5"/>
        <v>#DIV/0!</v>
      </c>
      <c r="F98" s="724">
        <v>2</v>
      </c>
      <c r="G98" s="724"/>
      <c r="H98" s="725"/>
      <c r="I98" s="693">
        <f t="shared" si="4"/>
        <v>2</v>
      </c>
      <c r="J98" s="695">
        <f t="shared" si="4"/>
        <v>0</v>
      </c>
      <c r="K98" s="650">
        <f t="shared" si="6"/>
        <v>0</v>
      </c>
    </row>
    <row r="99" spans="1:11" ht="24.95" customHeight="1">
      <c r="A99" s="477" t="s">
        <v>2552</v>
      </c>
      <c r="B99" s="722" t="s">
        <v>2553</v>
      </c>
      <c r="C99" s="723"/>
      <c r="D99" s="723"/>
      <c r="E99" s="694" t="e">
        <f t="shared" si="5"/>
        <v>#DIV/0!</v>
      </c>
      <c r="F99" s="724">
        <v>3</v>
      </c>
      <c r="G99" s="724"/>
      <c r="H99" s="725"/>
      <c r="I99" s="693">
        <f t="shared" si="4"/>
        <v>3</v>
      </c>
      <c r="J99" s="695">
        <f t="shared" si="4"/>
        <v>0</v>
      </c>
      <c r="K99" s="650">
        <f t="shared" si="6"/>
        <v>0</v>
      </c>
    </row>
    <row r="100" spans="1:11" ht="24.95" customHeight="1">
      <c r="A100" s="477" t="s">
        <v>2554</v>
      </c>
      <c r="B100" s="722" t="s">
        <v>2555</v>
      </c>
      <c r="C100" s="723"/>
      <c r="D100" s="723"/>
      <c r="E100" s="694" t="e">
        <f t="shared" si="5"/>
        <v>#DIV/0!</v>
      </c>
      <c r="F100" s="724">
        <v>2</v>
      </c>
      <c r="G100" s="724"/>
      <c r="H100" s="725"/>
      <c r="I100" s="693">
        <f t="shared" si="4"/>
        <v>2</v>
      </c>
      <c r="J100" s="695">
        <f t="shared" si="4"/>
        <v>0</v>
      </c>
      <c r="K100" s="650">
        <f t="shared" si="6"/>
        <v>0</v>
      </c>
    </row>
    <row r="101" spans="1:11" ht="24.95" customHeight="1">
      <c r="A101" s="477" t="s">
        <v>2556</v>
      </c>
      <c r="B101" s="722" t="s">
        <v>2557</v>
      </c>
      <c r="C101" s="723"/>
      <c r="D101" s="723"/>
      <c r="E101" s="694" t="e">
        <f t="shared" si="5"/>
        <v>#DIV/0!</v>
      </c>
      <c r="F101" s="724">
        <v>2</v>
      </c>
      <c r="G101" s="724"/>
      <c r="H101" s="725"/>
      <c r="I101" s="693">
        <f t="shared" si="4"/>
        <v>2</v>
      </c>
      <c r="J101" s="695">
        <f t="shared" si="4"/>
        <v>0</v>
      </c>
      <c r="K101" s="650">
        <f t="shared" si="6"/>
        <v>0</v>
      </c>
    </row>
    <row r="102" spans="1:11" ht="24.95" customHeight="1">
      <c r="A102" s="477" t="s">
        <v>2558</v>
      </c>
      <c r="B102" s="722" t="s">
        <v>2557</v>
      </c>
      <c r="C102" s="723"/>
      <c r="D102" s="723"/>
      <c r="E102" s="694" t="e">
        <f t="shared" si="5"/>
        <v>#DIV/0!</v>
      </c>
      <c r="F102" s="724">
        <v>2</v>
      </c>
      <c r="G102" s="724"/>
      <c r="H102" s="725"/>
      <c r="I102" s="693">
        <f t="shared" si="4"/>
        <v>2</v>
      </c>
      <c r="J102" s="695">
        <f t="shared" si="4"/>
        <v>0</v>
      </c>
      <c r="K102" s="650">
        <f t="shared" si="6"/>
        <v>0</v>
      </c>
    </row>
    <row r="103" spans="1:11" ht="24.95" customHeight="1">
      <c r="A103" s="726" t="s">
        <v>2559</v>
      </c>
      <c r="B103" s="727" t="s">
        <v>2560</v>
      </c>
      <c r="C103" s="723"/>
      <c r="D103" s="723"/>
      <c r="E103" s="694" t="e">
        <f t="shared" si="5"/>
        <v>#DIV/0!</v>
      </c>
      <c r="F103" s="723">
        <v>15</v>
      </c>
      <c r="G103" s="723"/>
      <c r="H103" s="728"/>
      <c r="I103" s="693">
        <f t="shared" si="4"/>
        <v>15</v>
      </c>
      <c r="J103" s="695">
        <f t="shared" si="4"/>
        <v>0</v>
      </c>
      <c r="K103" s="650">
        <f t="shared" si="6"/>
        <v>0</v>
      </c>
    </row>
    <row r="104" spans="1:11" ht="24.95" customHeight="1">
      <c r="A104" s="726" t="s">
        <v>2561</v>
      </c>
      <c r="B104" s="727" t="s">
        <v>2562</v>
      </c>
      <c r="C104" s="723"/>
      <c r="D104" s="723"/>
      <c r="E104" s="694" t="e">
        <f t="shared" si="5"/>
        <v>#DIV/0!</v>
      </c>
      <c r="F104" s="723">
        <v>5</v>
      </c>
      <c r="G104" s="723"/>
      <c r="H104" s="728"/>
      <c r="I104" s="693">
        <f t="shared" si="4"/>
        <v>5</v>
      </c>
      <c r="J104" s="695">
        <f t="shared" si="4"/>
        <v>0</v>
      </c>
      <c r="K104" s="650">
        <f t="shared" si="6"/>
        <v>0</v>
      </c>
    </row>
    <row r="105" spans="1:11" ht="24.95" customHeight="1">
      <c r="A105" s="701" t="s">
        <v>2563</v>
      </c>
      <c r="B105" s="704" t="s">
        <v>2564</v>
      </c>
      <c r="C105" s="698"/>
      <c r="D105" s="698"/>
      <c r="E105" s="694" t="e">
        <f t="shared" si="5"/>
        <v>#DIV/0!</v>
      </c>
      <c r="F105" s="698">
        <v>200</v>
      </c>
      <c r="G105" s="698">
        <v>5</v>
      </c>
      <c r="H105" s="703"/>
      <c r="I105" s="693">
        <f t="shared" ref="I105:J136" si="7">+C105+F105</f>
        <v>200</v>
      </c>
      <c r="J105" s="695">
        <f t="shared" si="7"/>
        <v>5</v>
      </c>
      <c r="K105" s="650">
        <f t="shared" si="6"/>
        <v>2.5000000000000001E-2</v>
      </c>
    </row>
    <row r="106" spans="1:11" ht="24.95" customHeight="1">
      <c r="A106" s="701" t="s">
        <v>2565</v>
      </c>
      <c r="B106" s="704" t="s">
        <v>2566</v>
      </c>
      <c r="C106" s="698"/>
      <c r="D106" s="698"/>
      <c r="E106" s="694" t="e">
        <f t="shared" si="5"/>
        <v>#DIV/0!</v>
      </c>
      <c r="F106" s="698">
        <v>360</v>
      </c>
      <c r="G106" s="698">
        <f>33+36</f>
        <v>69</v>
      </c>
      <c r="H106" s="703"/>
      <c r="I106" s="693">
        <f t="shared" si="7"/>
        <v>360</v>
      </c>
      <c r="J106" s="695">
        <f t="shared" si="7"/>
        <v>69</v>
      </c>
      <c r="K106" s="650">
        <f t="shared" si="6"/>
        <v>0.19166666666666668</v>
      </c>
    </row>
    <row r="107" spans="1:11" ht="24.95" customHeight="1">
      <c r="A107" s="701" t="s">
        <v>2567</v>
      </c>
      <c r="B107" s="704" t="s">
        <v>2568</v>
      </c>
      <c r="C107" s="698"/>
      <c r="D107" s="698"/>
      <c r="E107" s="694" t="e">
        <f t="shared" si="5"/>
        <v>#DIV/0!</v>
      </c>
      <c r="F107" s="698">
        <v>460</v>
      </c>
      <c r="G107" s="698">
        <f>32+9</f>
        <v>41</v>
      </c>
      <c r="H107" s="703"/>
      <c r="I107" s="693">
        <f t="shared" si="7"/>
        <v>460</v>
      </c>
      <c r="J107" s="695">
        <f t="shared" si="7"/>
        <v>41</v>
      </c>
      <c r="K107" s="650">
        <f t="shared" si="6"/>
        <v>8.9130434782608695E-2</v>
      </c>
    </row>
    <row r="108" spans="1:11" ht="24.95" customHeight="1">
      <c r="A108" s="701" t="s">
        <v>2569</v>
      </c>
      <c r="B108" s="704" t="s">
        <v>2570</v>
      </c>
      <c r="C108" s="698"/>
      <c r="D108" s="698">
        <v>1</v>
      </c>
      <c r="E108" s="694" t="e">
        <f t="shared" si="5"/>
        <v>#DIV/0!</v>
      </c>
      <c r="F108" s="698">
        <v>1300</v>
      </c>
      <c r="G108" s="698">
        <f>120+94</f>
        <v>214</v>
      </c>
      <c r="H108" s="703"/>
      <c r="I108" s="693">
        <f t="shared" si="7"/>
        <v>1300</v>
      </c>
      <c r="J108" s="695">
        <f t="shared" si="7"/>
        <v>215</v>
      </c>
      <c r="K108" s="650">
        <f t="shared" si="6"/>
        <v>0.16538461538461538</v>
      </c>
    </row>
    <row r="109" spans="1:11" ht="24.95" customHeight="1">
      <c r="A109" s="701" t="s">
        <v>2571</v>
      </c>
      <c r="B109" s="704" t="s">
        <v>2572</v>
      </c>
      <c r="C109" s="698"/>
      <c r="D109" s="698"/>
      <c r="E109" s="694" t="e">
        <f t="shared" si="5"/>
        <v>#DIV/0!</v>
      </c>
      <c r="F109" s="698">
        <v>280</v>
      </c>
      <c r="G109" s="698">
        <v>6</v>
      </c>
      <c r="H109" s="703"/>
      <c r="I109" s="693">
        <f t="shared" si="7"/>
        <v>280</v>
      </c>
      <c r="J109" s="695">
        <f t="shared" si="7"/>
        <v>6</v>
      </c>
      <c r="K109" s="650">
        <f t="shared" si="6"/>
        <v>2.1428571428571429E-2</v>
      </c>
    </row>
    <row r="110" spans="1:11" ht="24.95" customHeight="1">
      <c r="A110" s="701" t="s">
        <v>2573</v>
      </c>
      <c r="B110" s="704" t="s">
        <v>2574</v>
      </c>
      <c r="C110" s="698"/>
      <c r="D110" s="698"/>
      <c r="E110" s="694" t="e">
        <f t="shared" si="5"/>
        <v>#DIV/0!</v>
      </c>
      <c r="F110" s="699">
        <v>860</v>
      </c>
      <c r="G110" s="729">
        <f>37+39</f>
        <v>76</v>
      </c>
      <c r="H110" s="700"/>
      <c r="I110" s="693">
        <f t="shared" si="7"/>
        <v>860</v>
      </c>
      <c r="J110" s="695">
        <f t="shared" si="7"/>
        <v>76</v>
      </c>
      <c r="K110" s="650">
        <f t="shared" si="6"/>
        <v>8.8372093023255813E-2</v>
      </c>
    </row>
    <row r="111" spans="1:11" ht="24.95" customHeight="1">
      <c r="A111" s="701" t="s">
        <v>2575</v>
      </c>
      <c r="B111" s="704" t="s">
        <v>2576</v>
      </c>
      <c r="C111" s="698"/>
      <c r="D111" s="698"/>
      <c r="E111" s="694" t="e">
        <f t="shared" si="5"/>
        <v>#DIV/0!</v>
      </c>
      <c r="F111" s="699">
        <v>170</v>
      </c>
      <c r="G111" s="699">
        <v>4</v>
      </c>
      <c r="H111" s="700"/>
      <c r="I111" s="693">
        <f t="shared" si="7"/>
        <v>170</v>
      </c>
      <c r="J111" s="695">
        <f t="shared" si="7"/>
        <v>4</v>
      </c>
      <c r="K111" s="650">
        <f t="shared" si="6"/>
        <v>2.3529411764705882E-2</v>
      </c>
    </row>
    <row r="112" spans="1:11" ht="24.95" customHeight="1">
      <c r="A112" s="701" t="s">
        <v>2577</v>
      </c>
      <c r="B112" s="704" t="s">
        <v>2578</v>
      </c>
      <c r="C112" s="698"/>
      <c r="D112" s="698"/>
      <c r="E112" s="694" t="e">
        <f t="shared" si="5"/>
        <v>#DIV/0!</v>
      </c>
      <c r="F112" s="699">
        <v>70</v>
      </c>
      <c r="G112" s="699">
        <v>1</v>
      </c>
      <c r="H112" s="700"/>
      <c r="I112" s="693">
        <f t="shared" si="7"/>
        <v>70</v>
      </c>
      <c r="J112" s="695">
        <f t="shared" si="7"/>
        <v>1</v>
      </c>
      <c r="K112" s="650">
        <f t="shared" si="6"/>
        <v>1.4285714285714285E-2</v>
      </c>
    </row>
    <row r="113" spans="1:11" ht="24.95" customHeight="1">
      <c r="A113" s="701" t="s">
        <v>2579</v>
      </c>
      <c r="B113" s="704" t="s">
        <v>2580</v>
      </c>
      <c r="C113" s="698"/>
      <c r="D113" s="698"/>
      <c r="E113" s="694" t="e">
        <f t="shared" si="5"/>
        <v>#DIV/0!</v>
      </c>
      <c r="F113" s="698">
        <v>35</v>
      </c>
      <c r="G113" s="698">
        <v>1</v>
      </c>
      <c r="H113" s="703"/>
      <c r="I113" s="693">
        <f t="shared" si="7"/>
        <v>35</v>
      </c>
      <c r="J113" s="695">
        <f t="shared" si="7"/>
        <v>1</v>
      </c>
      <c r="K113" s="650">
        <f t="shared" si="6"/>
        <v>2.8571428571428571E-2</v>
      </c>
    </row>
    <row r="114" spans="1:11" ht="24.95" customHeight="1">
      <c r="A114" s="701" t="s">
        <v>2581</v>
      </c>
      <c r="B114" s="704" t="s">
        <v>2582</v>
      </c>
      <c r="C114" s="698"/>
      <c r="D114" s="698"/>
      <c r="E114" s="694" t="e">
        <f t="shared" si="5"/>
        <v>#DIV/0!</v>
      </c>
      <c r="F114" s="698">
        <v>1</v>
      </c>
      <c r="G114" s="698"/>
      <c r="H114" s="703"/>
      <c r="I114" s="693">
        <f t="shared" si="7"/>
        <v>1</v>
      </c>
      <c r="J114" s="695">
        <f t="shared" si="7"/>
        <v>0</v>
      </c>
      <c r="K114" s="650">
        <f t="shared" si="6"/>
        <v>0</v>
      </c>
    </row>
    <row r="115" spans="1:11" ht="24.95" customHeight="1">
      <c r="A115" s="701" t="s">
        <v>2583</v>
      </c>
      <c r="B115" s="704" t="s">
        <v>2584</v>
      </c>
      <c r="C115" s="698"/>
      <c r="D115" s="698"/>
      <c r="E115" s="694" t="e">
        <f t="shared" si="5"/>
        <v>#DIV/0!</v>
      </c>
      <c r="F115" s="698">
        <v>5</v>
      </c>
      <c r="G115" s="698"/>
      <c r="H115" s="703"/>
      <c r="I115" s="693">
        <f t="shared" si="7"/>
        <v>5</v>
      </c>
      <c r="J115" s="695">
        <f t="shared" si="7"/>
        <v>0</v>
      </c>
      <c r="K115" s="650">
        <f t="shared" si="6"/>
        <v>0</v>
      </c>
    </row>
    <row r="116" spans="1:11" ht="24.95" customHeight="1">
      <c r="A116" s="432" t="s">
        <v>2585</v>
      </c>
      <c r="B116" s="704" t="s">
        <v>2586</v>
      </c>
      <c r="C116" s="698"/>
      <c r="D116" s="698"/>
      <c r="E116" s="694" t="e">
        <f t="shared" si="5"/>
        <v>#DIV/0!</v>
      </c>
      <c r="F116" s="699">
        <v>55</v>
      </c>
      <c r="G116" s="699">
        <v>22</v>
      </c>
      <c r="H116" s="700"/>
      <c r="I116" s="693">
        <f t="shared" si="7"/>
        <v>55</v>
      </c>
      <c r="J116" s="695">
        <f t="shared" si="7"/>
        <v>22</v>
      </c>
      <c r="K116" s="650">
        <f t="shared" si="6"/>
        <v>0.4</v>
      </c>
    </row>
    <row r="117" spans="1:11" ht="24.95" customHeight="1">
      <c r="A117" s="432" t="s">
        <v>2587</v>
      </c>
      <c r="B117" s="704" t="s">
        <v>2588</v>
      </c>
      <c r="C117" s="698"/>
      <c r="D117" s="698">
        <v>1</v>
      </c>
      <c r="E117" s="694" t="e">
        <f t="shared" si="5"/>
        <v>#DIV/0!</v>
      </c>
      <c r="F117" s="699">
        <v>100</v>
      </c>
      <c r="G117" s="699">
        <v>26</v>
      </c>
      <c r="H117" s="700"/>
      <c r="I117" s="693">
        <f t="shared" si="7"/>
        <v>100</v>
      </c>
      <c r="J117" s="695">
        <f t="shared" si="7"/>
        <v>27</v>
      </c>
      <c r="K117" s="650">
        <f t="shared" si="6"/>
        <v>0.27</v>
      </c>
    </row>
    <row r="118" spans="1:11" ht="24.95" customHeight="1">
      <c r="A118" s="432" t="s">
        <v>2589</v>
      </c>
      <c r="B118" s="704" t="s">
        <v>2590</v>
      </c>
      <c r="C118" s="698"/>
      <c r="D118" s="698">
        <v>1</v>
      </c>
      <c r="E118" s="694" t="e">
        <f t="shared" si="5"/>
        <v>#DIV/0!</v>
      </c>
      <c r="F118" s="699">
        <v>200</v>
      </c>
      <c r="G118" s="699">
        <v>70</v>
      </c>
      <c r="H118" s="700"/>
      <c r="I118" s="693">
        <f t="shared" si="7"/>
        <v>200</v>
      </c>
      <c r="J118" s="695">
        <f t="shared" si="7"/>
        <v>71</v>
      </c>
      <c r="K118" s="650">
        <f t="shared" si="6"/>
        <v>0.35499999999999998</v>
      </c>
    </row>
    <row r="119" spans="1:11" ht="24.95" customHeight="1">
      <c r="A119" s="432" t="s">
        <v>2591</v>
      </c>
      <c r="B119" s="704" t="s">
        <v>2592</v>
      </c>
      <c r="C119" s="698">
        <v>3</v>
      </c>
      <c r="D119" s="698"/>
      <c r="E119" s="694">
        <f t="shared" si="5"/>
        <v>0</v>
      </c>
      <c r="F119" s="699">
        <v>360</v>
      </c>
      <c r="G119" s="699">
        <v>155</v>
      </c>
      <c r="H119" s="700"/>
      <c r="I119" s="693">
        <f t="shared" si="7"/>
        <v>363</v>
      </c>
      <c r="J119" s="695">
        <f t="shared" si="7"/>
        <v>155</v>
      </c>
      <c r="K119" s="650">
        <f t="shared" si="6"/>
        <v>0.42699724517906334</v>
      </c>
    </row>
    <row r="120" spans="1:11" ht="24.95" customHeight="1">
      <c r="A120" s="432" t="s">
        <v>2593</v>
      </c>
      <c r="B120" s="704" t="s">
        <v>2594</v>
      </c>
      <c r="C120" s="698">
        <v>3</v>
      </c>
      <c r="D120" s="698">
        <v>1</v>
      </c>
      <c r="E120" s="694">
        <f t="shared" si="5"/>
        <v>0.33333333333333331</v>
      </c>
      <c r="F120" s="699">
        <v>100</v>
      </c>
      <c r="G120" s="699">
        <v>30</v>
      </c>
      <c r="H120" s="700"/>
      <c r="I120" s="693">
        <f t="shared" si="7"/>
        <v>103</v>
      </c>
      <c r="J120" s="695">
        <f t="shared" si="7"/>
        <v>31</v>
      </c>
      <c r="K120" s="650">
        <f t="shared" si="6"/>
        <v>0.30097087378640774</v>
      </c>
    </row>
    <row r="121" spans="1:11" ht="24.95" customHeight="1">
      <c r="A121" s="432" t="s">
        <v>2595</v>
      </c>
      <c r="B121" s="704" t="s">
        <v>2596</v>
      </c>
      <c r="C121" s="698">
        <v>5</v>
      </c>
      <c r="D121" s="698"/>
      <c r="E121" s="694">
        <f t="shared" si="5"/>
        <v>0</v>
      </c>
      <c r="F121" s="699">
        <v>220</v>
      </c>
      <c r="G121" s="699">
        <v>86</v>
      </c>
      <c r="H121" s="700"/>
      <c r="I121" s="693">
        <f t="shared" si="7"/>
        <v>225</v>
      </c>
      <c r="J121" s="695">
        <f t="shared" si="7"/>
        <v>86</v>
      </c>
      <c r="K121" s="650">
        <f t="shared" si="6"/>
        <v>0.38222222222222224</v>
      </c>
    </row>
    <row r="122" spans="1:11" ht="24.95" customHeight="1">
      <c r="A122" s="432" t="s">
        <v>2597</v>
      </c>
      <c r="B122" s="704" t="s">
        <v>2598</v>
      </c>
      <c r="C122" s="698">
        <v>2</v>
      </c>
      <c r="D122" s="698"/>
      <c r="E122" s="694">
        <f t="shared" si="5"/>
        <v>0</v>
      </c>
      <c r="F122" s="699">
        <v>15</v>
      </c>
      <c r="G122" s="699">
        <v>4</v>
      </c>
      <c r="H122" s="700"/>
      <c r="I122" s="693">
        <f t="shared" si="7"/>
        <v>17</v>
      </c>
      <c r="J122" s="695">
        <f t="shared" si="7"/>
        <v>4</v>
      </c>
      <c r="K122" s="650">
        <f t="shared" si="6"/>
        <v>0.23529411764705882</v>
      </c>
    </row>
    <row r="123" spans="1:11" ht="24.95" customHeight="1">
      <c r="A123" s="432" t="s">
        <v>2599</v>
      </c>
      <c r="B123" s="704" t="s">
        <v>2600</v>
      </c>
      <c r="C123" s="698"/>
      <c r="D123" s="698"/>
      <c r="E123" s="694" t="e">
        <f t="shared" si="5"/>
        <v>#DIV/0!</v>
      </c>
      <c r="F123" s="699">
        <v>15</v>
      </c>
      <c r="G123" s="699">
        <v>1</v>
      </c>
      <c r="H123" s="700"/>
      <c r="I123" s="693">
        <f t="shared" si="7"/>
        <v>15</v>
      </c>
      <c r="J123" s="695">
        <f t="shared" si="7"/>
        <v>1</v>
      </c>
      <c r="K123" s="650">
        <f t="shared" si="6"/>
        <v>6.6666666666666666E-2</v>
      </c>
    </row>
    <row r="124" spans="1:11" ht="24.95" customHeight="1">
      <c r="A124" s="432" t="s">
        <v>2601</v>
      </c>
      <c r="B124" s="704" t="s">
        <v>2602</v>
      </c>
      <c r="C124" s="698"/>
      <c r="D124" s="698"/>
      <c r="E124" s="694" t="e">
        <f t="shared" si="5"/>
        <v>#DIV/0!</v>
      </c>
      <c r="F124" s="699">
        <v>2</v>
      </c>
      <c r="G124" s="699"/>
      <c r="H124" s="700"/>
      <c r="I124" s="693">
        <f t="shared" si="7"/>
        <v>2</v>
      </c>
      <c r="J124" s="695">
        <f t="shared" si="7"/>
        <v>0</v>
      </c>
      <c r="K124" s="650">
        <f t="shared" si="6"/>
        <v>0</v>
      </c>
    </row>
    <row r="125" spans="1:11" ht="24.95" customHeight="1">
      <c r="A125" s="432" t="s">
        <v>2603</v>
      </c>
      <c r="B125" s="704" t="s">
        <v>2604</v>
      </c>
      <c r="C125" s="698"/>
      <c r="D125" s="698"/>
      <c r="E125" s="694" t="e">
        <f t="shared" si="5"/>
        <v>#DIV/0!</v>
      </c>
      <c r="F125" s="699">
        <v>10</v>
      </c>
      <c r="G125" s="699"/>
      <c r="H125" s="700"/>
      <c r="I125" s="693">
        <f t="shared" si="7"/>
        <v>10</v>
      </c>
      <c r="J125" s="695">
        <f t="shared" si="7"/>
        <v>0</v>
      </c>
      <c r="K125" s="650">
        <f t="shared" si="6"/>
        <v>0</v>
      </c>
    </row>
    <row r="126" spans="1:11" ht="24.95" customHeight="1">
      <c r="A126" s="715" t="s">
        <v>2605</v>
      </c>
      <c r="B126" s="720" t="s">
        <v>2606</v>
      </c>
      <c r="C126" s="698"/>
      <c r="D126" s="698"/>
      <c r="E126" s="694" t="e">
        <f t="shared" si="5"/>
        <v>#DIV/0!</v>
      </c>
      <c r="F126" s="698">
        <v>70</v>
      </c>
      <c r="G126" s="698">
        <f>12+6</f>
        <v>18</v>
      </c>
      <c r="H126" s="703"/>
      <c r="I126" s="693">
        <f t="shared" si="7"/>
        <v>70</v>
      </c>
      <c r="J126" s="695">
        <f t="shared" si="7"/>
        <v>18</v>
      </c>
      <c r="K126" s="650">
        <f t="shared" si="6"/>
        <v>0.25714285714285712</v>
      </c>
    </row>
    <row r="127" spans="1:11" ht="24.95" customHeight="1">
      <c r="A127" s="701" t="s">
        <v>2607</v>
      </c>
      <c r="B127" s="704" t="s">
        <v>2608</v>
      </c>
      <c r="C127" s="698"/>
      <c r="D127" s="698"/>
      <c r="E127" s="694" t="e">
        <f t="shared" si="5"/>
        <v>#DIV/0!</v>
      </c>
      <c r="F127" s="698">
        <v>40</v>
      </c>
      <c r="G127" s="698"/>
      <c r="H127" s="703"/>
      <c r="I127" s="693">
        <f t="shared" si="7"/>
        <v>40</v>
      </c>
      <c r="J127" s="695">
        <f t="shared" si="7"/>
        <v>0</v>
      </c>
      <c r="K127" s="650">
        <f t="shared" si="6"/>
        <v>0</v>
      </c>
    </row>
    <row r="128" spans="1:11" ht="24.95" customHeight="1">
      <c r="A128" s="701" t="s">
        <v>2609</v>
      </c>
      <c r="B128" s="704" t="s">
        <v>2610</v>
      </c>
      <c r="C128" s="698"/>
      <c r="D128" s="698"/>
      <c r="E128" s="694" t="e">
        <f t="shared" si="5"/>
        <v>#DIV/0!</v>
      </c>
      <c r="F128" s="698">
        <v>45</v>
      </c>
      <c r="G128" s="698">
        <v>39</v>
      </c>
      <c r="H128" s="703"/>
      <c r="I128" s="693">
        <f t="shared" si="7"/>
        <v>45</v>
      </c>
      <c r="J128" s="695">
        <f t="shared" si="7"/>
        <v>39</v>
      </c>
      <c r="K128" s="650">
        <f t="shared" si="6"/>
        <v>0.8666666666666667</v>
      </c>
    </row>
    <row r="129" spans="1:11" ht="24.95" customHeight="1">
      <c r="A129" s="701" t="s">
        <v>2611</v>
      </c>
      <c r="B129" s="704" t="s">
        <v>2612</v>
      </c>
      <c r="C129" s="698"/>
      <c r="D129" s="698"/>
      <c r="E129" s="694" t="e">
        <f t="shared" si="5"/>
        <v>#DIV/0!</v>
      </c>
      <c r="F129" s="698">
        <v>4300</v>
      </c>
      <c r="G129" s="698"/>
      <c r="H129" s="703"/>
      <c r="I129" s="693">
        <f t="shared" si="7"/>
        <v>4300</v>
      </c>
      <c r="J129" s="695">
        <f t="shared" si="7"/>
        <v>0</v>
      </c>
      <c r="K129" s="650">
        <f t="shared" si="6"/>
        <v>0</v>
      </c>
    </row>
    <row r="130" spans="1:11" ht="24.95" customHeight="1">
      <c r="A130" s="701" t="s">
        <v>2613</v>
      </c>
      <c r="B130" s="704" t="s">
        <v>2614</v>
      </c>
      <c r="C130" s="698"/>
      <c r="D130" s="698"/>
      <c r="E130" s="694" t="e">
        <f t="shared" si="5"/>
        <v>#DIV/0!</v>
      </c>
      <c r="F130" s="698">
        <v>4800</v>
      </c>
      <c r="G130" s="698">
        <v>6431</v>
      </c>
      <c r="H130" s="703"/>
      <c r="I130" s="693">
        <f t="shared" si="7"/>
        <v>4800</v>
      </c>
      <c r="J130" s="695">
        <f t="shared" si="7"/>
        <v>6431</v>
      </c>
      <c r="K130" s="650">
        <f t="shared" si="6"/>
        <v>1.3397916666666667</v>
      </c>
    </row>
    <row r="131" spans="1:11" s="734" customFormat="1" ht="24.95" customHeight="1">
      <c r="A131" s="730" t="s">
        <v>2615</v>
      </c>
      <c r="B131" s="731" t="s">
        <v>2616</v>
      </c>
      <c r="C131" s="698"/>
      <c r="D131" s="698"/>
      <c r="E131" s="694" t="e">
        <f t="shared" si="5"/>
        <v>#DIV/0!</v>
      </c>
      <c r="F131" s="732">
        <f>300*10</f>
        <v>3000</v>
      </c>
      <c r="G131" s="732"/>
      <c r="H131" s="733"/>
      <c r="I131" s="693">
        <f t="shared" si="7"/>
        <v>3000</v>
      </c>
      <c r="J131" s="695">
        <f t="shared" si="7"/>
        <v>0</v>
      </c>
      <c r="K131" s="650">
        <f t="shared" si="6"/>
        <v>0</v>
      </c>
    </row>
    <row r="132" spans="1:11" ht="24.95" customHeight="1">
      <c r="A132" s="701" t="s">
        <v>2617</v>
      </c>
      <c r="B132" s="704" t="s">
        <v>2618</v>
      </c>
      <c r="C132" s="698"/>
      <c r="D132" s="698"/>
      <c r="E132" s="694" t="e">
        <f t="shared" si="5"/>
        <v>#DIV/0!</v>
      </c>
      <c r="F132" s="698"/>
      <c r="G132" s="698"/>
      <c r="H132" s="703"/>
      <c r="I132" s="693">
        <f t="shared" si="7"/>
        <v>0</v>
      </c>
      <c r="J132" s="695">
        <f t="shared" si="7"/>
        <v>0</v>
      </c>
      <c r="K132" s="650" t="e">
        <f t="shared" si="6"/>
        <v>#DIV/0!</v>
      </c>
    </row>
    <row r="133" spans="1:11" s="711" customFormat="1" ht="24.95" customHeight="1">
      <c r="A133" s="730" t="s">
        <v>2327</v>
      </c>
      <c r="B133" s="731" t="s">
        <v>2619</v>
      </c>
      <c r="C133" s="698"/>
      <c r="D133" s="698"/>
      <c r="E133" s="694" t="e">
        <f t="shared" si="5"/>
        <v>#DIV/0!</v>
      </c>
      <c r="F133" s="698">
        <v>5</v>
      </c>
      <c r="G133" s="698"/>
      <c r="H133" s="703"/>
      <c r="I133" s="693">
        <f t="shared" si="7"/>
        <v>5</v>
      </c>
      <c r="J133" s="695">
        <f t="shared" si="7"/>
        <v>0</v>
      </c>
      <c r="K133" s="650">
        <f t="shared" si="6"/>
        <v>0</v>
      </c>
    </row>
    <row r="134" spans="1:11" ht="24.95" customHeight="1">
      <c r="A134" s="701" t="s">
        <v>2620</v>
      </c>
      <c r="B134" s="704" t="s">
        <v>2621</v>
      </c>
      <c r="C134" s="698"/>
      <c r="D134" s="698"/>
      <c r="E134" s="694" t="e">
        <f t="shared" si="5"/>
        <v>#DIV/0!</v>
      </c>
      <c r="F134" s="698">
        <v>20</v>
      </c>
      <c r="G134" s="698">
        <v>3</v>
      </c>
      <c r="H134" s="703"/>
      <c r="I134" s="693">
        <f t="shared" si="7"/>
        <v>20</v>
      </c>
      <c r="J134" s="695">
        <f t="shared" si="7"/>
        <v>3</v>
      </c>
      <c r="K134" s="650">
        <f t="shared" si="6"/>
        <v>0.15</v>
      </c>
    </row>
    <row r="135" spans="1:11" ht="24.95" customHeight="1">
      <c r="A135" s="701" t="s">
        <v>2622</v>
      </c>
      <c r="B135" s="704" t="s">
        <v>2623</v>
      </c>
      <c r="C135" s="698"/>
      <c r="D135" s="698"/>
      <c r="E135" s="694" t="e">
        <f t="shared" si="5"/>
        <v>#DIV/0!</v>
      </c>
      <c r="F135" s="698">
        <v>1905</v>
      </c>
      <c r="G135" s="698"/>
      <c r="H135" s="703"/>
      <c r="I135" s="693">
        <f t="shared" si="7"/>
        <v>1905</v>
      </c>
      <c r="J135" s="695">
        <f t="shared" si="7"/>
        <v>0</v>
      </c>
      <c r="K135" s="650">
        <f t="shared" si="6"/>
        <v>0</v>
      </c>
    </row>
    <row r="136" spans="1:11" ht="24.95" customHeight="1">
      <c r="A136" s="701" t="s">
        <v>2624</v>
      </c>
      <c r="B136" s="704" t="s">
        <v>2330</v>
      </c>
      <c r="C136" s="698"/>
      <c r="D136" s="698"/>
      <c r="E136" s="694" t="e">
        <f t="shared" si="5"/>
        <v>#DIV/0!</v>
      </c>
      <c r="F136" s="698">
        <v>8060</v>
      </c>
      <c r="G136" s="698">
        <v>4177</v>
      </c>
      <c r="H136" s="703"/>
      <c r="I136" s="693">
        <f t="shared" si="7"/>
        <v>8060</v>
      </c>
      <c r="J136" s="695">
        <f t="shared" si="7"/>
        <v>4177</v>
      </c>
      <c r="K136" s="650">
        <f t="shared" si="6"/>
        <v>0.51823821339950371</v>
      </c>
    </row>
    <row r="137" spans="1:11" ht="24.95" customHeight="1">
      <c r="A137" s="701" t="s">
        <v>2331</v>
      </c>
      <c r="B137" s="704" t="s">
        <v>2332</v>
      </c>
      <c r="C137" s="698"/>
      <c r="D137" s="698"/>
      <c r="E137" s="694" t="e">
        <f t="shared" si="5"/>
        <v>#DIV/0!</v>
      </c>
      <c r="F137" s="699">
        <v>1650</v>
      </c>
      <c r="G137" s="699"/>
      <c r="H137" s="700"/>
      <c r="I137" s="693">
        <f t="shared" ref="I137:J165" si="8">+C137+F137</f>
        <v>1650</v>
      </c>
      <c r="J137" s="695">
        <f t="shared" si="8"/>
        <v>0</v>
      </c>
      <c r="K137" s="650">
        <f t="shared" si="6"/>
        <v>0</v>
      </c>
    </row>
    <row r="138" spans="1:11" ht="24.95" customHeight="1">
      <c r="A138" s="701" t="s">
        <v>2625</v>
      </c>
      <c r="B138" s="704" t="s">
        <v>2626</v>
      </c>
      <c r="C138" s="698"/>
      <c r="D138" s="698"/>
      <c r="E138" s="694" t="e">
        <f t="shared" ref="E138:E167" si="9">+D138/C138</f>
        <v>#DIV/0!</v>
      </c>
      <c r="F138" s="699">
        <v>0</v>
      </c>
      <c r="G138" s="699"/>
      <c r="H138" s="700"/>
      <c r="I138" s="693">
        <f t="shared" si="8"/>
        <v>0</v>
      </c>
      <c r="J138" s="695">
        <f t="shared" si="8"/>
        <v>0</v>
      </c>
      <c r="K138" s="650" t="e">
        <f t="shared" ref="K138:K167" si="10">+J138/I138</f>
        <v>#DIV/0!</v>
      </c>
    </row>
    <row r="139" spans="1:11" ht="24.95" customHeight="1">
      <c r="A139" s="721" t="s">
        <v>2627</v>
      </c>
      <c r="B139" s="720" t="s">
        <v>2628</v>
      </c>
      <c r="C139" s="698"/>
      <c r="D139" s="698"/>
      <c r="E139" s="694" t="e">
        <f t="shared" si="9"/>
        <v>#DIV/0!</v>
      </c>
      <c r="F139" s="698">
        <v>4420</v>
      </c>
      <c r="G139" s="698">
        <v>2067</v>
      </c>
      <c r="H139" s="703"/>
      <c r="I139" s="693">
        <f t="shared" si="8"/>
        <v>4420</v>
      </c>
      <c r="J139" s="695">
        <f t="shared" si="8"/>
        <v>2067</v>
      </c>
      <c r="K139" s="650">
        <f t="shared" si="10"/>
        <v>0.46764705882352942</v>
      </c>
    </row>
    <row r="140" spans="1:11" ht="24.95" customHeight="1">
      <c r="A140" s="721" t="s">
        <v>2629</v>
      </c>
      <c r="B140" s="720" t="s">
        <v>2630</v>
      </c>
      <c r="C140" s="698"/>
      <c r="D140" s="698"/>
      <c r="E140" s="694" t="e">
        <f t="shared" si="9"/>
        <v>#DIV/0!</v>
      </c>
      <c r="F140" s="698">
        <v>10820</v>
      </c>
      <c r="G140" s="698">
        <v>4069</v>
      </c>
      <c r="H140" s="703"/>
      <c r="I140" s="693">
        <f t="shared" si="8"/>
        <v>10820</v>
      </c>
      <c r="J140" s="695">
        <f t="shared" si="8"/>
        <v>4069</v>
      </c>
      <c r="K140" s="650">
        <f t="shared" si="10"/>
        <v>0.37606284658040667</v>
      </c>
    </row>
    <row r="141" spans="1:11" ht="24.95" customHeight="1">
      <c r="A141" s="721" t="s">
        <v>2631</v>
      </c>
      <c r="B141" s="720" t="s">
        <v>2632</v>
      </c>
      <c r="C141" s="698"/>
      <c r="D141" s="698"/>
      <c r="E141" s="694" t="e">
        <f t="shared" si="9"/>
        <v>#DIV/0!</v>
      </c>
      <c r="F141" s="698">
        <v>19400</v>
      </c>
      <c r="G141" s="698">
        <v>8578</v>
      </c>
      <c r="H141" s="703"/>
      <c r="I141" s="693">
        <f t="shared" si="8"/>
        <v>19400</v>
      </c>
      <c r="J141" s="695">
        <f t="shared" si="8"/>
        <v>8578</v>
      </c>
      <c r="K141" s="650">
        <f t="shared" si="10"/>
        <v>0.44216494845360826</v>
      </c>
    </row>
    <row r="142" spans="1:11" ht="24.95" customHeight="1">
      <c r="A142" s="701" t="s">
        <v>2178</v>
      </c>
      <c r="B142" s="704" t="s">
        <v>2179</v>
      </c>
      <c r="C142" s="698"/>
      <c r="D142" s="698"/>
      <c r="E142" s="694" t="e">
        <f t="shared" si="9"/>
        <v>#DIV/0!</v>
      </c>
      <c r="F142" s="698">
        <v>23560</v>
      </c>
      <c r="G142" s="698">
        <v>10482</v>
      </c>
      <c r="H142" s="703"/>
      <c r="I142" s="693">
        <f t="shared" si="8"/>
        <v>23560</v>
      </c>
      <c r="J142" s="695">
        <f t="shared" si="8"/>
        <v>10482</v>
      </c>
      <c r="K142" s="650">
        <f t="shared" si="10"/>
        <v>0.44490662139219017</v>
      </c>
    </row>
    <row r="143" spans="1:11" ht="24.95" customHeight="1">
      <c r="A143" s="735" t="s">
        <v>2633</v>
      </c>
      <c r="B143" s="704" t="s">
        <v>2634</v>
      </c>
      <c r="C143" s="698"/>
      <c r="D143" s="698"/>
      <c r="E143" s="694" t="e">
        <f t="shared" si="9"/>
        <v>#DIV/0!</v>
      </c>
      <c r="F143" s="698">
        <v>3950</v>
      </c>
      <c r="G143" s="698">
        <v>2108</v>
      </c>
      <c r="H143" s="703"/>
      <c r="I143" s="693">
        <f t="shared" si="8"/>
        <v>3950</v>
      </c>
      <c r="J143" s="695">
        <f t="shared" si="8"/>
        <v>2108</v>
      </c>
      <c r="K143" s="650">
        <f t="shared" si="10"/>
        <v>0.53367088607594937</v>
      </c>
    </row>
    <row r="144" spans="1:11" ht="24.95" customHeight="1">
      <c r="A144" s="735" t="s">
        <v>2635</v>
      </c>
      <c r="B144" s="704" t="s">
        <v>2636</v>
      </c>
      <c r="C144" s="698"/>
      <c r="D144" s="698"/>
      <c r="E144" s="694" t="e">
        <f t="shared" si="9"/>
        <v>#DIV/0!</v>
      </c>
      <c r="F144" s="698">
        <v>1</v>
      </c>
      <c r="G144" s="698"/>
      <c r="H144" s="703"/>
      <c r="I144" s="693">
        <f t="shared" si="8"/>
        <v>1</v>
      </c>
      <c r="J144" s="695">
        <f t="shared" si="8"/>
        <v>0</v>
      </c>
      <c r="K144" s="650">
        <f t="shared" si="10"/>
        <v>0</v>
      </c>
    </row>
    <row r="145" spans="1:11" ht="24.95" customHeight="1">
      <c r="A145" s="701" t="s">
        <v>2637</v>
      </c>
      <c r="B145" s="704" t="s">
        <v>2638</v>
      </c>
      <c r="C145" s="698"/>
      <c r="D145" s="698"/>
      <c r="E145" s="694" t="e">
        <f t="shared" si="9"/>
        <v>#DIV/0!</v>
      </c>
      <c r="F145" s="698">
        <v>5</v>
      </c>
      <c r="G145" s="698"/>
      <c r="H145" s="703"/>
      <c r="I145" s="693">
        <f t="shared" si="8"/>
        <v>5</v>
      </c>
      <c r="J145" s="695">
        <f t="shared" si="8"/>
        <v>0</v>
      </c>
      <c r="K145" s="650">
        <f t="shared" si="10"/>
        <v>0</v>
      </c>
    </row>
    <row r="146" spans="1:11" ht="24.95" customHeight="1">
      <c r="A146" s="701" t="s">
        <v>2639</v>
      </c>
      <c r="B146" s="704" t="s">
        <v>2640</v>
      </c>
      <c r="C146" s="698"/>
      <c r="D146" s="698"/>
      <c r="E146" s="694" t="e">
        <f t="shared" si="9"/>
        <v>#DIV/0!</v>
      </c>
      <c r="F146" s="698">
        <v>2</v>
      </c>
      <c r="G146" s="698"/>
      <c r="H146" s="703"/>
      <c r="I146" s="693">
        <f t="shared" si="8"/>
        <v>2</v>
      </c>
      <c r="J146" s="695">
        <f t="shared" si="8"/>
        <v>0</v>
      </c>
      <c r="K146" s="650">
        <f t="shared" si="10"/>
        <v>0</v>
      </c>
    </row>
    <row r="147" spans="1:11" ht="24.95" customHeight="1">
      <c r="A147" s="701" t="s">
        <v>2641</v>
      </c>
      <c r="B147" s="720" t="s">
        <v>2642</v>
      </c>
      <c r="C147" s="698"/>
      <c r="D147" s="698"/>
      <c r="E147" s="694" t="e">
        <f t="shared" si="9"/>
        <v>#DIV/0!</v>
      </c>
      <c r="F147" s="698">
        <v>3</v>
      </c>
      <c r="G147" s="698"/>
      <c r="H147" s="703"/>
      <c r="I147" s="693">
        <f t="shared" si="8"/>
        <v>3</v>
      </c>
      <c r="J147" s="695">
        <f t="shared" si="8"/>
        <v>0</v>
      </c>
      <c r="K147" s="650">
        <f t="shared" si="10"/>
        <v>0</v>
      </c>
    </row>
    <row r="148" spans="1:11" ht="24.95" customHeight="1">
      <c r="A148" s="701" t="s">
        <v>2643</v>
      </c>
      <c r="B148" s="720" t="s">
        <v>2644</v>
      </c>
      <c r="C148" s="698"/>
      <c r="D148" s="698"/>
      <c r="E148" s="694" t="e">
        <f t="shared" si="9"/>
        <v>#DIV/0!</v>
      </c>
      <c r="F148" s="698">
        <v>405</v>
      </c>
      <c r="G148" s="698"/>
      <c r="H148" s="703"/>
      <c r="I148" s="693">
        <f t="shared" si="8"/>
        <v>405</v>
      </c>
      <c r="J148" s="695">
        <f t="shared" si="8"/>
        <v>0</v>
      </c>
      <c r="K148" s="650">
        <f t="shared" si="10"/>
        <v>0</v>
      </c>
    </row>
    <row r="149" spans="1:11" ht="24.95" customHeight="1">
      <c r="A149" s="701" t="s">
        <v>2645</v>
      </c>
      <c r="B149" s="720" t="s">
        <v>2646</v>
      </c>
      <c r="C149" s="698"/>
      <c r="D149" s="698"/>
      <c r="E149" s="694" t="e">
        <f t="shared" si="9"/>
        <v>#DIV/0!</v>
      </c>
      <c r="F149" s="698">
        <v>2060</v>
      </c>
      <c r="G149" s="698">
        <v>1333</v>
      </c>
      <c r="H149" s="703"/>
      <c r="I149" s="693">
        <f t="shared" si="8"/>
        <v>2060</v>
      </c>
      <c r="J149" s="695">
        <f t="shared" si="8"/>
        <v>1333</v>
      </c>
      <c r="K149" s="650">
        <f t="shared" si="10"/>
        <v>0.6470873786407767</v>
      </c>
    </row>
    <row r="150" spans="1:11" ht="24.95" customHeight="1">
      <c r="A150" s="701" t="s">
        <v>2647</v>
      </c>
      <c r="B150" s="720" t="s">
        <v>2648</v>
      </c>
      <c r="C150" s="698"/>
      <c r="D150" s="698"/>
      <c r="E150" s="694" t="e">
        <f t="shared" si="9"/>
        <v>#DIV/0!</v>
      </c>
      <c r="F150" s="698">
        <v>5</v>
      </c>
      <c r="G150" s="698"/>
      <c r="H150" s="703"/>
      <c r="I150" s="693">
        <f t="shared" si="8"/>
        <v>5</v>
      </c>
      <c r="J150" s="695">
        <f t="shared" si="8"/>
        <v>0</v>
      </c>
      <c r="K150" s="650">
        <f t="shared" si="10"/>
        <v>0</v>
      </c>
    </row>
    <row r="151" spans="1:11" ht="24.95" customHeight="1">
      <c r="A151" s="701" t="s">
        <v>2649</v>
      </c>
      <c r="B151" s="720" t="s">
        <v>2650</v>
      </c>
      <c r="C151" s="698"/>
      <c r="D151" s="698"/>
      <c r="E151" s="694" t="e">
        <f t="shared" si="9"/>
        <v>#DIV/0!</v>
      </c>
      <c r="F151" s="698">
        <v>5</v>
      </c>
      <c r="G151" s="698">
        <v>2</v>
      </c>
      <c r="H151" s="703"/>
      <c r="I151" s="693">
        <f t="shared" si="8"/>
        <v>5</v>
      </c>
      <c r="J151" s="695">
        <f t="shared" si="8"/>
        <v>2</v>
      </c>
      <c r="K151" s="650">
        <f t="shared" si="10"/>
        <v>0.4</v>
      </c>
    </row>
    <row r="152" spans="1:11" ht="24.95" customHeight="1">
      <c r="A152" s="701" t="s">
        <v>2651</v>
      </c>
      <c r="B152" s="704" t="s">
        <v>2652</v>
      </c>
      <c r="C152" s="698"/>
      <c r="D152" s="698"/>
      <c r="E152" s="694" t="e">
        <f t="shared" si="9"/>
        <v>#DIV/0!</v>
      </c>
      <c r="F152" s="698">
        <v>440</v>
      </c>
      <c r="G152" s="698"/>
      <c r="H152" s="703"/>
      <c r="I152" s="693">
        <f t="shared" si="8"/>
        <v>440</v>
      </c>
      <c r="J152" s="695">
        <f t="shared" si="8"/>
        <v>0</v>
      </c>
      <c r="K152" s="650">
        <f t="shared" si="10"/>
        <v>0</v>
      </c>
    </row>
    <row r="153" spans="1:11" ht="24.95" customHeight="1">
      <c r="A153" s="701" t="s">
        <v>2653</v>
      </c>
      <c r="B153" s="704" t="s">
        <v>2654</v>
      </c>
      <c r="C153" s="698"/>
      <c r="D153" s="698"/>
      <c r="E153" s="694" t="e">
        <f t="shared" si="9"/>
        <v>#DIV/0!</v>
      </c>
      <c r="F153" s="698">
        <v>370</v>
      </c>
      <c r="G153" s="698">
        <v>4</v>
      </c>
      <c r="H153" s="703"/>
      <c r="I153" s="693">
        <f t="shared" si="8"/>
        <v>370</v>
      </c>
      <c r="J153" s="695">
        <f t="shared" si="8"/>
        <v>4</v>
      </c>
      <c r="K153" s="650">
        <f t="shared" si="10"/>
        <v>1.0810810810810811E-2</v>
      </c>
    </row>
    <row r="154" spans="1:11" ht="24.95" customHeight="1">
      <c r="A154" s="701" t="s">
        <v>2655</v>
      </c>
      <c r="B154" s="704" t="s">
        <v>2656</v>
      </c>
      <c r="C154" s="698"/>
      <c r="D154" s="698"/>
      <c r="E154" s="694" t="e">
        <f t="shared" si="9"/>
        <v>#DIV/0!</v>
      </c>
      <c r="F154" s="698">
        <v>130</v>
      </c>
      <c r="G154" s="698">
        <v>5</v>
      </c>
      <c r="H154" s="703"/>
      <c r="I154" s="693">
        <f t="shared" si="8"/>
        <v>130</v>
      </c>
      <c r="J154" s="695">
        <f t="shared" si="8"/>
        <v>5</v>
      </c>
      <c r="K154" s="650">
        <f t="shared" si="10"/>
        <v>3.8461538461538464E-2</v>
      </c>
    </row>
    <row r="155" spans="1:11" ht="24.95" customHeight="1">
      <c r="A155" s="701" t="s">
        <v>2657</v>
      </c>
      <c r="B155" s="704" t="s">
        <v>2658</v>
      </c>
      <c r="C155" s="698"/>
      <c r="D155" s="698"/>
      <c r="E155" s="694" t="e">
        <f t="shared" si="9"/>
        <v>#DIV/0!</v>
      </c>
      <c r="F155" s="698">
        <v>520</v>
      </c>
      <c r="G155" s="698">
        <f>34+722</f>
        <v>756</v>
      </c>
      <c r="H155" s="703"/>
      <c r="I155" s="693">
        <f t="shared" si="8"/>
        <v>520</v>
      </c>
      <c r="J155" s="695">
        <f t="shared" si="8"/>
        <v>756</v>
      </c>
      <c r="K155" s="650">
        <f t="shared" si="10"/>
        <v>1.4538461538461538</v>
      </c>
    </row>
    <row r="156" spans="1:11" ht="24.95" customHeight="1">
      <c r="A156" s="701">
        <v>241021</v>
      </c>
      <c r="B156" s="704" t="s">
        <v>2659</v>
      </c>
      <c r="C156" s="698"/>
      <c r="D156" s="698"/>
      <c r="E156" s="694" t="e">
        <f t="shared" si="9"/>
        <v>#DIV/0!</v>
      </c>
      <c r="F156" s="698">
        <v>0</v>
      </c>
      <c r="G156" s="698"/>
      <c r="H156" s="703"/>
      <c r="I156" s="693">
        <f t="shared" si="8"/>
        <v>0</v>
      </c>
      <c r="J156" s="695">
        <f t="shared" si="8"/>
        <v>0</v>
      </c>
      <c r="K156" s="650" t="e">
        <f t="shared" si="10"/>
        <v>#DIV/0!</v>
      </c>
    </row>
    <row r="157" spans="1:11" ht="24.95" customHeight="1">
      <c r="A157" s="701">
        <v>241022</v>
      </c>
      <c r="B157" s="704" t="s">
        <v>2660</v>
      </c>
      <c r="C157" s="698"/>
      <c r="D157" s="698"/>
      <c r="E157" s="694" t="e">
        <f t="shared" si="9"/>
        <v>#DIV/0!</v>
      </c>
      <c r="F157" s="698">
        <v>10</v>
      </c>
      <c r="G157" s="698"/>
      <c r="H157" s="703"/>
      <c r="I157" s="693">
        <f t="shared" si="8"/>
        <v>10</v>
      </c>
      <c r="J157" s="695">
        <f t="shared" si="8"/>
        <v>0</v>
      </c>
      <c r="K157" s="650">
        <f t="shared" si="10"/>
        <v>0</v>
      </c>
    </row>
    <row r="158" spans="1:11" ht="24.95" customHeight="1">
      <c r="A158" s="701">
        <v>241023</v>
      </c>
      <c r="B158" s="704" t="s">
        <v>2661</v>
      </c>
      <c r="C158" s="698"/>
      <c r="D158" s="698"/>
      <c r="E158" s="694" t="e">
        <f t="shared" si="9"/>
        <v>#DIV/0!</v>
      </c>
      <c r="F158" s="698">
        <v>10</v>
      </c>
      <c r="G158" s="698"/>
      <c r="H158" s="703"/>
      <c r="I158" s="693">
        <f t="shared" si="8"/>
        <v>10</v>
      </c>
      <c r="J158" s="695">
        <f t="shared" si="8"/>
        <v>0</v>
      </c>
      <c r="K158" s="650">
        <f t="shared" si="10"/>
        <v>0</v>
      </c>
    </row>
    <row r="159" spans="1:11" ht="24.95" customHeight="1">
      <c r="A159" s="701">
        <v>241025</v>
      </c>
      <c r="B159" s="704" t="s">
        <v>2662</v>
      </c>
      <c r="C159" s="698"/>
      <c r="D159" s="698"/>
      <c r="E159" s="694" t="e">
        <f t="shared" si="9"/>
        <v>#DIV/0!</v>
      </c>
      <c r="F159" s="698">
        <v>20</v>
      </c>
      <c r="G159" s="698">
        <v>4</v>
      </c>
      <c r="H159" s="703"/>
      <c r="I159" s="693">
        <f t="shared" si="8"/>
        <v>20</v>
      </c>
      <c r="J159" s="695">
        <f t="shared" si="8"/>
        <v>4</v>
      </c>
      <c r="K159" s="650">
        <f t="shared" si="10"/>
        <v>0.2</v>
      </c>
    </row>
    <row r="160" spans="1:11" ht="24.95" customHeight="1">
      <c r="A160" s="701">
        <v>241026</v>
      </c>
      <c r="B160" s="704" t="s">
        <v>2663</v>
      </c>
      <c r="C160" s="698"/>
      <c r="D160" s="698"/>
      <c r="E160" s="694" t="e">
        <f t="shared" si="9"/>
        <v>#DIV/0!</v>
      </c>
      <c r="F160" s="698">
        <v>100</v>
      </c>
      <c r="G160" s="698">
        <v>27</v>
      </c>
      <c r="H160" s="703"/>
      <c r="I160" s="693">
        <f t="shared" si="8"/>
        <v>100</v>
      </c>
      <c r="J160" s="695">
        <f t="shared" si="8"/>
        <v>27</v>
      </c>
      <c r="K160" s="650">
        <f t="shared" si="10"/>
        <v>0.27</v>
      </c>
    </row>
    <row r="161" spans="1:11" ht="24.95" customHeight="1">
      <c r="A161" s="701">
        <v>241028</v>
      </c>
      <c r="B161" s="704" t="s">
        <v>2664</v>
      </c>
      <c r="C161" s="698"/>
      <c r="D161" s="698"/>
      <c r="E161" s="694" t="e">
        <f t="shared" si="9"/>
        <v>#DIV/0!</v>
      </c>
      <c r="F161" s="698">
        <v>10</v>
      </c>
      <c r="G161" s="698"/>
      <c r="H161" s="703"/>
      <c r="I161" s="693">
        <f t="shared" si="8"/>
        <v>10</v>
      </c>
      <c r="J161" s="695">
        <f t="shared" si="8"/>
        <v>0</v>
      </c>
      <c r="K161" s="650">
        <f t="shared" si="10"/>
        <v>0</v>
      </c>
    </row>
    <row r="162" spans="1:11" ht="24.95" customHeight="1">
      <c r="A162" s="701">
        <v>241029</v>
      </c>
      <c r="B162" s="704" t="s">
        <v>2665</v>
      </c>
      <c r="C162" s="698"/>
      <c r="D162" s="698"/>
      <c r="E162" s="694" t="e">
        <f t="shared" si="9"/>
        <v>#DIV/0!</v>
      </c>
      <c r="F162" s="698">
        <v>2</v>
      </c>
      <c r="G162" s="698"/>
      <c r="H162" s="703"/>
      <c r="I162" s="693">
        <f t="shared" si="8"/>
        <v>2</v>
      </c>
      <c r="J162" s="695">
        <f t="shared" si="8"/>
        <v>0</v>
      </c>
      <c r="K162" s="650">
        <f t="shared" si="10"/>
        <v>0</v>
      </c>
    </row>
    <row r="163" spans="1:11" ht="24.95" customHeight="1">
      <c r="A163" s="701">
        <v>241030</v>
      </c>
      <c r="B163" s="704" t="s">
        <v>2666</v>
      </c>
      <c r="C163" s="698"/>
      <c r="D163" s="698"/>
      <c r="E163" s="694" t="e">
        <f t="shared" si="9"/>
        <v>#DIV/0!</v>
      </c>
      <c r="F163" s="698">
        <v>1</v>
      </c>
      <c r="G163" s="698"/>
      <c r="H163" s="703"/>
      <c r="I163" s="693">
        <f t="shared" si="8"/>
        <v>1</v>
      </c>
      <c r="J163" s="695">
        <f t="shared" si="8"/>
        <v>0</v>
      </c>
      <c r="K163" s="650">
        <f t="shared" si="10"/>
        <v>0</v>
      </c>
    </row>
    <row r="164" spans="1:11" ht="24.95" customHeight="1">
      <c r="A164" s="701" t="s">
        <v>2667</v>
      </c>
      <c r="B164" s="704" t="s">
        <v>2668</v>
      </c>
      <c r="C164" s="698">
        <v>1</v>
      </c>
      <c r="D164" s="698"/>
      <c r="E164" s="694">
        <f t="shared" si="9"/>
        <v>0</v>
      </c>
      <c r="F164" s="698">
        <v>30</v>
      </c>
      <c r="G164" s="698">
        <v>39</v>
      </c>
      <c r="H164" s="703"/>
      <c r="I164" s="693">
        <f t="shared" si="8"/>
        <v>31</v>
      </c>
      <c r="J164" s="695">
        <f t="shared" si="8"/>
        <v>39</v>
      </c>
      <c r="K164" s="650">
        <f t="shared" si="10"/>
        <v>1.2580645161290323</v>
      </c>
    </row>
    <row r="165" spans="1:11" ht="24.95" customHeight="1">
      <c r="A165" s="701" t="s">
        <v>2669</v>
      </c>
      <c r="B165" s="704" t="s">
        <v>2670</v>
      </c>
      <c r="C165" s="698"/>
      <c r="D165" s="698"/>
      <c r="E165" s="694" t="e">
        <f t="shared" si="9"/>
        <v>#DIV/0!</v>
      </c>
      <c r="F165" s="698"/>
      <c r="G165" s="698">
        <v>23</v>
      </c>
      <c r="H165" s="703"/>
      <c r="I165" s="693">
        <f t="shared" si="8"/>
        <v>0</v>
      </c>
      <c r="J165" s="695">
        <f t="shared" si="8"/>
        <v>23</v>
      </c>
      <c r="K165" s="650" t="e">
        <f t="shared" si="10"/>
        <v>#DIV/0!</v>
      </c>
    </row>
    <row r="166" spans="1:11" ht="24.95" customHeight="1">
      <c r="A166" s="672"/>
      <c r="B166" s="672" t="s">
        <v>2</v>
      </c>
      <c r="C166" s="724">
        <f t="shared" ref="C166:I166" si="11">SUM(C9:C165)</f>
        <v>90</v>
      </c>
      <c r="D166" s="724">
        <f>SUM(D9:D165)</f>
        <v>43</v>
      </c>
      <c r="E166" s="694">
        <f t="shared" si="9"/>
        <v>0.4777777777777778</v>
      </c>
      <c r="F166" s="724">
        <f t="shared" si="11"/>
        <v>149505</v>
      </c>
      <c r="G166" s="724">
        <f t="shared" si="11"/>
        <v>67464</v>
      </c>
      <c r="H166" s="725">
        <f>+G166/F166</f>
        <v>0.45124912210293971</v>
      </c>
      <c r="I166" s="724">
        <f t="shared" si="11"/>
        <v>149595</v>
      </c>
      <c r="J166" s="695">
        <f>+D166+G166</f>
        <v>67507</v>
      </c>
      <c r="K166" s="650">
        <f t="shared" si="10"/>
        <v>0.45126508238911728</v>
      </c>
    </row>
    <row r="167" spans="1:11" ht="24.95" customHeight="1">
      <c r="A167" s="672"/>
      <c r="B167" s="672" t="s">
        <v>2671</v>
      </c>
      <c r="C167" s="736">
        <f t="shared" ref="C167:I167" si="12">+C166</f>
        <v>90</v>
      </c>
      <c r="D167" s="736">
        <f>+D166</f>
        <v>43</v>
      </c>
      <c r="E167" s="694">
        <f t="shared" si="9"/>
        <v>0.4777777777777778</v>
      </c>
      <c r="F167" s="736">
        <f t="shared" si="12"/>
        <v>149505</v>
      </c>
      <c r="G167" s="736">
        <f t="shared" si="12"/>
        <v>67464</v>
      </c>
      <c r="H167" s="725">
        <f>+G167/F167</f>
        <v>0.45124912210293971</v>
      </c>
      <c r="I167" s="736">
        <f t="shared" si="12"/>
        <v>149595</v>
      </c>
      <c r="J167" s="695">
        <f>+D167+G167</f>
        <v>67507</v>
      </c>
      <c r="K167" s="650">
        <f t="shared" si="10"/>
        <v>0.45126508238911728</v>
      </c>
    </row>
    <row r="168" spans="1:11" ht="24.95" customHeight="1">
      <c r="A168" s="2237" t="s">
        <v>149</v>
      </c>
      <c r="B168" s="2237"/>
      <c r="C168" s="2237"/>
      <c r="D168" s="2237"/>
      <c r="E168" s="2237"/>
      <c r="F168" s="2237"/>
      <c r="G168" s="2237"/>
      <c r="H168" s="2237"/>
      <c r="I168" s="2238"/>
      <c r="K168" s="643"/>
    </row>
    <row r="169" spans="1:11" s="741" customFormat="1" ht="24.95" customHeight="1">
      <c r="A169" s="737"/>
      <c r="B169" s="738" t="s">
        <v>208</v>
      </c>
      <c r="C169" s="1960" t="s">
        <v>1852</v>
      </c>
      <c r="D169" s="1961"/>
      <c r="E169" s="1961"/>
      <c r="F169" s="1961"/>
      <c r="G169" s="1961"/>
      <c r="H169" s="1961"/>
      <c r="I169" s="1961"/>
      <c r="J169" s="739"/>
      <c r="K169" s="740"/>
    </row>
    <row r="170" spans="1:11" s="741" customFormat="1" ht="24.95" customHeight="1">
      <c r="A170" s="737"/>
      <c r="B170" s="738" t="s">
        <v>209</v>
      </c>
      <c r="C170" s="1958">
        <v>17878735</v>
      </c>
      <c r="D170" s="1959"/>
      <c r="E170" s="1959"/>
      <c r="F170" s="1959"/>
      <c r="G170" s="1959"/>
      <c r="H170" s="1959"/>
      <c r="I170" s="1959"/>
      <c r="J170" s="742"/>
      <c r="K170" s="740"/>
    </row>
    <row r="171" spans="1:11" s="741" customFormat="1" ht="24.95" customHeight="1">
      <c r="A171" s="737"/>
      <c r="B171" s="738" t="s">
        <v>211</v>
      </c>
      <c r="C171" s="1960" t="s">
        <v>2037</v>
      </c>
      <c r="D171" s="1961"/>
      <c r="E171" s="1961"/>
      <c r="F171" s="1961"/>
      <c r="G171" s="1961"/>
      <c r="H171" s="1961"/>
      <c r="I171" s="1961"/>
      <c r="J171" s="739"/>
      <c r="K171" s="740"/>
    </row>
    <row r="172" spans="1:11" s="741" customFormat="1" ht="24.95" customHeight="1">
      <c r="A172" s="737"/>
      <c r="B172" s="738" t="s">
        <v>210</v>
      </c>
      <c r="C172" s="2221" t="s">
        <v>331</v>
      </c>
      <c r="D172" s="2222"/>
      <c r="E172" s="2222"/>
      <c r="F172" s="2222"/>
      <c r="G172" s="2222"/>
      <c r="H172" s="2222"/>
      <c r="I172" s="2222"/>
      <c r="J172" s="743"/>
      <c r="K172" s="740"/>
    </row>
    <row r="173" spans="1:11" s="741" customFormat="1" ht="24.95" customHeight="1">
      <c r="A173" s="737"/>
      <c r="B173" s="738" t="s">
        <v>251</v>
      </c>
      <c r="C173" s="2223" t="s">
        <v>1892</v>
      </c>
      <c r="D173" s="2224"/>
      <c r="E173" s="2224"/>
      <c r="F173" s="2224"/>
      <c r="G173" s="2224"/>
      <c r="H173" s="2224"/>
      <c r="I173" s="2225"/>
      <c r="J173" s="744"/>
      <c r="K173" s="740"/>
    </row>
    <row r="174" spans="1:11" ht="24.95" customHeight="1">
      <c r="A174" s="2226" t="s">
        <v>122</v>
      </c>
      <c r="B174" s="2226" t="s">
        <v>253</v>
      </c>
      <c r="C174" s="2227" t="s">
        <v>2038</v>
      </c>
      <c r="D174" s="2228"/>
      <c r="E174" s="2229"/>
      <c r="F174" s="2228" t="s">
        <v>2039</v>
      </c>
      <c r="G174" s="2228"/>
      <c r="H174" s="2229"/>
      <c r="I174" s="2230" t="s">
        <v>90</v>
      </c>
      <c r="J174" s="2230"/>
      <c r="K174" s="2230"/>
    </row>
    <row r="175" spans="1:11" ht="24.95" customHeight="1">
      <c r="A175" s="2226"/>
      <c r="B175" s="2226"/>
      <c r="C175" s="745" t="s">
        <v>368</v>
      </c>
      <c r="D175" s="547" t="s">
        <v>2040</v>
      </c>
      <c r="E175" s="746" t="s">
        <v>2041</v>
      </c>
      <c r="F175" s="745" t="s">
        <v>368</v>
      </c>
      <c r="G175" s="745" t="s">
        <v>2672</v>
      </c>
      <c r="H175" s="746" t="s">
        <v>2041</v>
      </c>
      <c r="I175" s="747" t="s">
        <v>368</v>
      </c>
      <c r="J175" s="547" t="s">
        <v>2040</v>
      </c>
      <c r="K175" s="746" t="s">
        <v>2041</v>
      </c>
    </row>
    <row r="176" spans="1:11" ht="24.95" customHeight="1">
      <c r="A176" s="748"/>
      <c r="B176" s="749" t="s">
        <v>2673</v>
      </c>
      <c r="C176" s="2209"/>
      <c r="D176" s="2210"/>
      <c r="E176" s="2210"/>
      <c r="F176" s="2210"/>
      <c r="G176" s="2210"/>
      <c r="H176" s="2210"/>
      <c r="I176" s="2210"/>
      <c r="J176" s="2210"/>
      <c r="K176" s="2211"/>
    </row>
    <row r="177" spans="1:11" ht="24.95" customHeight="1">
      <c r="A177" s="748"/>
      <c r="B177" s="749" t="s">
        <v>2674</v>
      </c>
      <c r="C177" s="2209"/>
      <c r="D177" s="2210"/>
      <c r="E177" s="2210"/>
      <c r="F177" s="2210"/>
      <c r="G177" s="2210"/>
      <c r="H177" s="2210"/>
      <c r="I177" s="2210"/>
      <c r="J177" s="2210"/>
      <c r="K177" s="2211"/>
    </row>
    <row r="178" spans="1:11" ht="24.95" customHeight="1">
      <c r="A178" s="750" t="s">
        <v>2675</v>
      </c>
      <c r="B178" s="452" t="s">
        <v>2676</v>
      </c>
      <c r="C178" s="751"/>
      <c r="D178" s="752"/>
      <c r="E178" s="753" t="e">
        <f>+D178/C178</f>
        <v>#DIV/0!</v>
      </c>
      <c r="F178" s="752">
        <v>40</v>
      </c>
      <c r="G178" s="752">
        <v>17</v>
      </c>
      <c r="H178" s="753">
        <f>+G178/F178</f>
        <v>0.42499999999999999</v>
      </c>
      <c r="I178" s="754">
        <f>+C178+F178</f>
        <v>40</v>
      </c>
      <c r="J178" s="755">
        <f>+D178+G178</f>
        <v>17</v>
      </c>
      <c r="K178" s="650">
        <f>+J178/I178</f>
        <v>0.42499999999999999</v>
      </c>
    </row>
    <row r="179" spans="1:11" ht="24.95" customHeight="1">
      <c r="A179" s="756" t="s">
        <v>2677</v>
      </c>
      <c r="B179" s="757" t="s">
        <v>2678</v>
      </c>
      <c r="C179" s="751"/>
      <c r="D179" s="752"/>
      <c r="E179" s="753" t="e">
        <f t="shared" ref="E179:E229" si="13">+D179/C179</f>
        <v>#DIV/0!</v>
      </c>
      <c r="F179" s="752">
        <v>0</v>
      </c>
      <c r="G179" s="752"/>
      <c r="H179" s="753" t="e">
        <f t="shared" ref="H179:H229" si="14">+G179/F179</f>
        <v>#DIV/0!</v>
      </c>
      <c r="I179" s="754">
        <f t="shared" ref="I179:J229" si="15">+C179+F179</f>
        <v>0</v>
      </c>
      <c r="J179" s="755">
        <f t="shared" si="15"/>
        <v>0</v>
      </c>
      <c r="K179" s="650" t="e">
        <f t="shared" ref="K179:K229" si="16">+J179/I179</f>
        <v>#DIV/0!</v>
      </c>
    </row>
    <row r="180" spans="1:11" ht="24.95" customHeight="1">
      <c r="A180" s="730" t="s">
        <v>2679</v>
      </c>
      <c r="B180" s="731" t="s">
        <v>2680</v>
      </c>
      <c r="C180" s="751"/>
      <c r="D180" s="752"/>
      <c r="E180" s="753" t="e">
        <f t="shared" si="13"/>
        <v>#DIV/0!</v>
      </c>
      <c r="F180" s="752">
        <v>4</v>
      </c>
      <c r="G180" s="752"/>
      <c r="H180" s="753">
        <f t="shared" si="14"/>
        <v>0</v>
      </c>
      <c r="I180" s="754">
        <f t="shared" si="15"/>
        <v>4</v>
      </c>
      <c r="J180" s="755">
        <f t="shared" si="15"/>
        <v>0</v>
      </c>
      <c r="K180" s="650">
        <f t="shared" si="16"/>
        <v>0</v>
      </c>
    </row>
    <row r="181" spans="1:11" ht="24.95" customHeight="1">
      <c r="A181" s="730" t="s">
        <v>2681</v>
      </c>
      <c r="B181" s="731" t="s">
        <v>2682</v>
      </c>
      <c r="C181" s="751"/>
      <c r="D181" s="752"/>
      <c r="E181" s="753" t="e">
        <f t="shared" si="13"/>
        <v>#DIV/0!</v>
      </c>
      <c r="F181" s="752">
        <v>10</v>
      </c>
      <c r="G181" s="752">
        <v>2</v>
      </c>
      <c r="H181" s="753">
        <f t="shared" si="14"/>
        <v>0.2</v>
      </c>
      <c r="I181" s="754">
        <f t="shared" si="15"/>
        <v>10</v>
      </c>
      <c r="J181" s="755">
        <f t="shared" si="15"/>
        <v>2</v>
      </c>
      <c r="K181" s="650">
        <f t="shared" si="16"/>
        <v>0.2</v>
      </c>
    </row>
    <row r="182" spans="1:11" ht="24.95" customHeight="1">
      <c r="A182" s="730" t="s">
        <v>2683</v>
      </c>
      <c r="B182" s="731" t="s">
        <v>2684</v>
      </c>
      <c r="C182" s="751"/>
      <c r="D182" s="752"/>
      <c r="E182" s="753" t="e">
        <f t="shared" si="13"/>
        <v>#DIV/0!</v>
      </c>
      <c r="F182" s="752">
        <v>0</v>
      </c>
      <c r="G182" s="752"/>
      <c r="H182" s="753" t="e">
        <f t="shared" si="14"/>
        <v>#DIV/0!</v>
      </c>
      <c r="I182" s="754">
        <f t="shared" si="15"/>
        <v>0</v>
      </c>
      <c r="J182" s="755">
        <f t="shared" si="15"/>
        <v>0</v>
      </c>
      <c r="K182" s="650" t="e">
        <f t="shared" si="16"/>
        <v>#DIV/0!</v>
      </c>
    </row>
    <row r="183" spans="1:11" ht="24.95" customHeight="1">
      <c r="A183" s="730" t="s">
        <v>2685</v>
      </c>
      <c r="B183" s="731" t="s">
        <v>2686</v>
      </c>
      <c r="C183" s="751"/>
      <c r="D183" s="752"/>
      <c r="E183" s="753" t="e">
        <f t="shared" si="13"/>
        <v>#DIV/0!</v>
      </c>
      <c r="F183" s="752">
        <v>5</v>
      </c>
      <c r="G183" s="752"/>
      <c r="H183" s="753">
        <f t="shared" si="14"/>
        <v>0</v>
      </c>
      <c r="I183" s="754">
        <f t="shared" si="15"/>
        <v>5</v>
      </c>
      <c r="J183" s="755">
        <f t="shared" si="15"/>
        <v>0</v>
      </c>
      <c r="K183" s="650">
        <f t="shared" si="16"/>
        <v>0</v>
      </c>
    </row>
    <row r="184" spans="1:11" ht="24.95" customHeight="1">
      <c r="A184" s="730" t="s">
        <v>2687</v>
      </c>
      <c r="B184" s="731" t="s">
        <v>2688</v>
      </c>
      <c r="C184" s="751"/>
      <c r="D184" s="752"/>
      <c r="E184" s="753" t="e">
        <f t="shared" si="13"/>
        <v>#DIV/0!</v>
      </c>
      <c r="F184" s="752">
        <v>3</v>
      </c>
      <c r="G184" s="752"/>
      <c r="H184" s="753">
        <f t="shared" si="14"/>
        <v>0</v>
      </c>
      <c r="I184" s="754">
        <f t="shared" si="15"/>
        <v>3</v>
      </c>
      <c r="J184" s="755">
        <f t="shared" si="15"/>
        <v>0</v>
      </c>
      <c r="K184" s="650">
        <f t="shared" si="16"/>
        <v>0</v>
      </c>
    </row>
    <row r="185" spans="1:11" ht="24.95" customHeight="1">
      <c r="A185" s="730" t="s">
        <v>2689</v>
      </c>
      <c r="B185" s="731" t="s">
        <v>2690</v>
      </c>
      <c r="C185" s="751"/>
      <c r="D185" s="752"/>
      <c r="E185" s="753" t="e">
        <f t="shared" si="13"/>
        <v>#DIV/0!</v>
      </c>
      <c r="F185" s="752">
        <v>10</v>
      </c>
      <c r="G185" s="752">
        <v>4</v>
      </c>
      <c r="H185" s="753">
        <f t="shared" si="14"/>
        <v>0.4</v>
      </c>
      <c r="I185" s="754">
        <f t="shared" si="15"/>
        <v>10</v>
      </c>
      <c r="J185" s="755">
        <f t="shared" si="15"/>
        <v>4</v>
      </c>
      <c r="K185" s="650">
        <f t="shared" si="16"/>
        <v>0.4</v>
      </c>
    </row>
    <row r="186" spans="1:11" ht="24.95" customHeight="1">
      <c r="A186" s="730" t="s">
        <v>2691</v>
      </c>
      <c r="B186" s="731" t="s">
        <v>2692</v>
      </c>
      <c r="C186" s="751"/>
      <c r="D186" s="752"/>
      <c r="E186" s="753" t="e">
        <f t="shared" si="13"/>
        <v>#DIV/0!</v>
      </c>
      <c r="F186" s="752">
        <v>2</v>
      </c>
      <c r="G186" s="752"/>
      <c r="H186" s="753">
        <f t="shared" si="14"/>
        <v>0</v>
      </c>
      <c r="I186" s="754">
        <f t="shared" si="15"/>
        <v>2</v>
      </c>
      <c r="J186" s="755">
        <f t="shared" si="15"/>
        <v>0</v>
      </c>
      <c r="K186" s="650">
        <f t="shared" si="16"/>
        <v>0</v>
      </c>
    </row>
    <row r="187" spans="1:11" ht="24.95" customHeight="1">
      <c r="A187" s="730" t="s">
        <v>2693</v>
      </c>
      <c r="B187" s="731" t="s">
        <v>2694</v>
      </c>
      <c r="C187" s="751"/>
      <c r="D187" s="752"/>
      <c r="E187" s="753" t="e">
        <f t="shared" si="13"/>
        <v>#DIV/0!</v>
      </c>
      <c r="F187" s="752">
        <v>1</v>
      </c>
      <c r="G187" s="752"/>
      <c r="H187" s="753">
        <f t="shared" si="14"/>
        <v>0</v>
      </c>
      <c r="I187" s="754">
        <f t="shared" si="15"/>
        <v>1</v>
      </c>
      <c r="J187" s="755">
        <f t="shared" si="15"/>
        <v>0</v>
      </c>
      <c r="K187" s="650">
        <f t="shared" si="16"/>
        <v>0</v>
      </c>
    </row>
    <row r="188" spans="1:11" ht="24.95" customHeight="1">
      <c r="A188" s="730" t="s">
        <v>2695</v>
      </c>
      <c r="B188" s="731" t="s">
        <v>2696</v>
      </c>
      <c r="C188" s="751"/>
      <c r="D188" s="752"/>
      <c r="E188" s="753" t="e">
        <f t="shared" si="13"/>
        <v>#DIV/0!</v>
      </c>
      <c r="F188" s="752">
        <v>20</v>
      </c>
      <c r="G188" s="752"/>
      <c r="H188" s="753">
        <f t="shared" si="14"/>
        <v>0</v>
      </c>
      <c r="I188" s="754">
        <f t="shared" si="15"/>
        <v>20</v>
      </c>
      <c r="J188" s="755">
        <f t="shared" si="15"/>
        <v>0</v>
      </c>
      <c r="K188" s="650">
        <f t="shared" si="16"/>
        <v>0</v>
      </c>
    </row>
    <row r="189" spans="1:11" ht="24.95" customHeight="1">
      <c r="A189" s="730" t="s">
        <v>2697</v>
      </c>
      <c r="B189" s="731" t="s">
        <v>2698</v>
      </c>
      <c r="C189" s="751"/>
      <c r="D189" s="752"/>
      <c r="E189" s="753" t="e">
        <f t="shared" si="13"/>
        <v>#DIV/0!</v>
      </c>
      <c r="F189" s="752">
        <v>5</v>
      </c>
      <c r="G189" s="752">
        <v>3</v>
      </c>
      <c r="H189" s="753">
        <f t="shared" si="14"/>
        <v>0.6</v>
      </c>
      <c r="I189" s="754">
        <f t="shared" si="15"/>
        <v>5</v>
      </c>
      <c r="J189" s="755">
        <f t="shared" si="15"/>
        <v>3</v>
      </c>
      <c r="K189" s="650">
        <f t="shared" si="16"/>
        <v>0.6</v>
      </c>
    </row>
    <row r="190" spans="1:11" ht="24.95" customHeight="1">
      <c r="A190" s="730" t="s">
        <v>2699</v>
      </c>
      <c r="B190" s="731" t="s">
        <v>2700</v>
      </c>
      <c r="C190" s="751"/>
      <c r="D190" s="752"/>
      <c r="E190" s="753" t="e">
        <f t="shared" si="13"/>
        <v>#DIV/0!</v>
      </c>
      <c r="F190" s="752">
        <v>6</v>
      </c>
      <c r="G190" s="752">
        <v>3</v>
      </c>
      <c r="H190" s="753">
        <f t="shared" si="14"/>
        <v>0.5</v>
      </c>
      <c r="I190" s="754">
        <f t="shared" si="15"/>
        <v>6</v>
      </c>
      <c r="J190" s="755">
        <f t="shared" si="15"/>
        <v>3</v>
      </c>
      <c r="K190" s="650">
        <f t="shared" si="16"/>
        <v>0.5</v>
      </c>
    </row>
    <row r="191" spans="1:11" ht="24.95" customHeight="1">
      <c r="A191" s="730" t="s">
        <v>2701</v>
      </c>
      <c r="B191" s="731" t="s">
        <v>2702</v>
      </c>
      <c r="C191" s="751"/>
      <c r="D191" s="752"/>
      <c r="E191" s="753" t="e">
        <f t="shared" si="13"/>
        <v>#DIV/0!</v>
      </c>
      <c r="F191" s="752">
        <v>25</v>
      </c>
      <c r="G191" s="752">
        <v>20</v>
      </c>
      <c r="H191" s="753">
        <f t="shared" si="14"/>
        <v>0.8</v>
      </c>
      <c r="I191" s="754">
        <f t="shared" si="15"/>
        <v>25</v>
      </c>
      <c r="J191" s="755">
        <f t="shared" si="15"/>
        <v>20</v>
      </c>
      <c r="K191" s="650">
        <f t="shared" si="16"/>
        <v>0.8</v>
      </c>
    </row>
    <row r="192" spans="1:11" ht="24.95" customHeight="1">
      <c r="A192" s="730" t="s">
        <v>2703</v>
      </c>
      <c r="B192" s="731" t="s">
        <v>2704</v>
      </c>
      <c r="C192" s="751"/>
      <c r="D192" s="752"/>
      <c r="E192" s="753" t="e">
        <f t="shared" si="13"/>
        <v>#DIV/0!</v>
      </c>
      <c r="F192" s="752">
        <v>1</v>
      </c>
      <c r="G192" s="752"/>
      <c r="H192" s="753">
        <f t="shared" si="14"/>
        <v>0</v>
      </c>
      <c r="I192" s="754">
        <f t="shared" si="15"/>
        <v>1</v>
      </c>
      <c r="J192" s="755">
        <f t="shared" si="15"/>
        <v>0</v>
      </c>
      <c r="K192" s="650">
        <f t="shared" si="16"/>
        <v>0</v>
      </c>
    </row>
    <row r="193" spans="1:11" ht="24.95" customHeight="1">
      <c r="A193" s="730" t="s">
        <v>2705</v>
      </c>
      <c r="B193" s="731" t="s">
        <v>2706</v>
      </c>
      <c r="C193" s="751"/>
      <c r="D193" s="752"/>
      <c r="E193" s="753" t="e">
        <f t="shared" si="13"/>
        <v>#DIV/0!</v>
      </c>
      <c r="F193" s="752">
        <v>25</v>
      </c>
      <c r="G193" s="752">
        <v>11</v>
      </c>
      <c r="H193" s="753">
        <f t="shared" si="14"/>
        <v>0.44</v>
      </c>
      <c r="I193" s="754">
        <f t="shared" si="15"/>
        <v>25</v>
      </c>
      <c r="J193" s="755">
        <f t="shared" si="15"/>
        <v>11</v>
      </c>
      <c r="K193" s="650">
        <f t="shared" si="16"/>
        <v>0.44</v>
      </c>
    </row>
    <row r="194" spans="1:11" ht="24.95" customHeight="1">
      <c r="A194" s="730" t="s">
        <v>2707</v>
      </c>
      <c r="B194" s="731" t="s">
        <v>2708</v>
      </c>
      <c r="C194" s="751">
        <v>5</v>
      </c>
      <c r="D194" s="752"/>
      <c r="E194" s="753">
        <f t="shared" si="13"/>
        <v>0</v>
      </c>
      <c r="F194" s="752">
        <v>0</v>
      </c>
      <c r="G194" s="752"/>
      <c r="H194" s="753" t="e">
        <f t="shared" si="14"/>
        <v>#DIV/0!</v>
      </c>
      <c r="I194" s="754">
        <f t="shared" si="15"/>
        <v>5</v>
      </c>
      <c r="J194" s="755">
        <f t="shared" si="15"/>
        <v>0</v>
      </c>
      <c r="K194" s="650">
        <f t="shared" si="16"/>
        <v>0</v>
      </c>
    </row>
    <row r="195" spans="1:11" ht="24.95" customHeight="1">
      <c r="A195" s="756" t="s">
        <v>2709</v>
      </c>
      <c r="B195" s="758" t="s">
        <v>2710</v>
      </c>
      <c r="C195" s="751"/>
      <c r="D195" s="752"/>
      <c r="E195" s="753" t="e">
        <f t="shared" si="13"/>
        <v>#DIV/0!</v>
      </c>
      <c r="F195" s="752">
        <v>10</v>
      </c>
      <c r="G195" s="752"/>
      <c r="H195" s="753">
        <f t="shared" si="14"/>
        <v>0</v>
      </c>
      <c r="I195" s="754">
        <f t="shared" si="15"/>
        <v>10</v>
      </c>
      <c r="J195" s="755">
        <f t="shared" si="15"/>
        <v>0</v>
      </c>
      <c r="K195" s="650">
        <f t="shared" si="16"/>
        <v>0</v>
      </c>
    </row>
    <row r="196" spans="1:11" ht="24.95" customHeight="1">
      <c r="A196" s="730" t="s">
        <v>2711</v>
      </c>
      <c r="B196" s="731" t="s">
        <v>2712</v>
      </c>
      <c r="C196" s="751"/>
      <c r="D196" s="752"/>
      <c r="E196" s="753" t="e">
        <f t="shared" si="13"/>
        <v>#DIV/0!</v>
      </c>
      <c r="F196" s="752">
        <v>5</v>
      </c>
      <c r="G196" s="752">
        <v>3</v>
      </c>
      <c r="H196" s="753">
        <f t="shared" si="14"/>
        <v>0.6</v>
      </c>
      <c r="I196" s="754">
        <f t="shared" si="15"/>
        <v>5</v>
      </c>
      <c r="J196" s="755">
        <f t="shared" si="15"/>
        <v>3</v>
      </c>
      <c r="K196" s="650">
        <f t="shared" si="16"/>
        <v>0.6</v>
      </c>
    </row>
    <row r="197" spans="1:11" ht="24.95" customHeight="1">
      <c r="A197" s="730" t="s">
        <v>2713</v>
      </c>
      <c r="B197" s="731" t="s">
        <v>2714</v>
      </c>
      <c r="C197" s="751"/>
      <c r="D197" s="752"/>
      <c r="E197" s="753" t="e">
        <f t="shared" si="13"/>
        <v>#DIV/0!</v>
      </c>
      <c r="F197" s="752">
        <v>20</v>
      </c>
      <c r="G197" s="752">
        <v>6</v>
      </c>
      <c r="H197" s="753">
        <f t="shared" si="14"/>
        <v>0.3</v>
      </c>
      <c r="I197" s="754">
        <f t="shared" si="15"/>
        <v>20</v>
      </c>
      <c r="J197" s="755">
        <f t="shared" si="15"/>
        <v>6</v>
      </c>
      <c r="K197" s="650">
        <f t="shared" si="16"/>
        <v>0.3</v>
      </c>
    </row>
    <row r="198" spans="1:11" ht="24.95" customHeight="1">
      <c r="A198" s="730" t="s">
        <v>2715</v>
      </c>
      <c r="B198" s="731" t="s">
        <v>2716</v>
      </c>
      <c r="C198" s="751"/>
      <c r="D198" s="752"/>
      <c r="E198" s="753" t="e">
        <f t="shared" si="13"/>
        <v>#DIV/0!</v>
      </c>
      <c r="F198" s="752">
        <v>46</v>
      </c>
      <c r="G198" s="752">
        <v>18</v>
      </c>
      <c r="H198" s="753">
        <f t="shared" si="14"/>
        <v>0.39130434782608697</v>
      </c>
      <c r="I198" s="754">
        <f t="shared" si="15"/>
        <v>46</v>
      </c>
      <c r="J198" s="755">
        <f t="shared" si="15"/>
        <v>18</v>
      </c>
      <c r="K198" s="650">
        <f t="shared" si="16"/>
        <v>0.39130434782608697</v>
      </c>
    </row>
    <row r="199" spans="1:11" ht="24.95" customHeight="1">
      <c r="A199" s="730" t="s">
        <v>2717</v>
      </c>
      <c r="B199" s="731" t="s">
        <v>2718</v>
      </c>
      <c r="C199" s="751"/>
      <c r="D199" s="752"/>
      <c r="E199" s="753" t="e">
        <f t="shared" si="13"/>
        <v>#DIV/0!</v>
      </c>
      <c r="F199" s="752">
        <v>7</v>
      </c>
      <c r="G199" s="752">
        <v>3</v>
      </c>
      <c r="H199" s="753">
        <f t="shared" si="14"/>
        <v>0.42857142857142855</v>
      </c>
      <c r="I199" s="754">
        <f t="shared" si="15"/>
        <v>7</v>
      </c>
      <c r="J199" s="755">
        <f t="shared" si="15"/>
        <v>3</v>
      </c>
      <c r="K199" s="650">
        <f t="shared" si="16"/>
        <v>0.42857142857142855</v>
      </c>
    </row>
    <row r="200" spans="1:11" ht="24.95" customHeight="1">
      <c r="A200" s="730" t="s">
        <v>2719</v>
      </c>
      <c r="B200" s="731" t="s">
        <v>2720</v>
      </c>
      <c r="C200" s="751"/>
      <c r="D200" s="752"/>
      <c r="E200" s="753" t="e">
        <f t="shared" si="13"/>
        <v>#DIV/0!</v>
      </c>
      <c r="F200" s="752">
        <v>0</v>
      </c>
      <c r="G200" s="752"/>
      <c r="H200" s="753" t="e">
        <f t="shared" si="14"/>
        <v>#DIV/0!</v>
      </c>
      <c r="I200" s="754">
        <f t="shared" si="15"/>
        <v>0</v>
      </c>
      <c r="J200" s="755">
        <f t="shared" si="15"/>
        <v>0</v>
      </c>
      <c r="K200" s="650" t="e">
        <f t="shared" si="16"/>
        <v>#DIV/0!</v>
      </c>
    </row>
    <row r="201" spans="1:11" ht="24.95" customHeight="1">
      <c r="A201" s="730" t="s">
        <v>2721</v>
      </c>
      <c r="B201" s="731" t="s">
        <v>2722</v>
      </c>
      <c r="C201" s="751"/>
      <c r="D201" s="752"/>
      <c r="E201" s="753" t="e">
        <f t="shared" si="13"/>
        <v>#DIV/0!</v>
      </c>
      <c r="F201" s="752">
        <v>1</v>
      </c>
      <c r="G201" s="752"/>
      <c r="H201" s="753">
        <f t="shared" si="14"/>
        <v>0</v>
      </c>
      <c r="I201" s="754">
        <f t="shared" si="15"/>
        <v>1</v>
      </c>
      <c r="J201" s="755">
        <f t="shared" si="15"/>
        <v>0</v>
      </c>
      <c r="K201" s="650">
        <f t="shared" si="16"/>
        <v>0</v>
      </c>
    </row>
    <row r="202" spans="1:11" ht="24.95" customHeight="1">
      <c r="A202" s="730" t="s">
        <v>2723</v>
      </c>
      <c r="B202" s="731" t="s">
        <v>2724</v>
      </c>
      <c r="C202" s="751"/>
      <c r="D202" s="752"/>
      <c r="E202" s="753" t="e">
        <f t="shared" si="13"/>
        <v>#DIV/0!</v>
      </c>
      <c r="F202" s="752">
        <v>0</v>
      </c>
      <c r="G202" s="752"/>
      <c r="H202" s="753" t="e">
        <f t="shared" si="14"/>
        <v>#DIV/0!</v>
      </c>
      <c r="I202" s="754">
        <f t="shared" si="15"/>
        <v>0</v>
      </c>
      <c r="J202" s="755">
        <f t="shared" si="15"/>
        <v>0</v>
      </c>
      <c r="K202" s="650" t="e">
        <f t="shared" si="16"/>
        <v>#DIV/0!</v>
      </c>
    </row>
    <row r="203" spans="1:11" ht="24.95" customHeight="1">
      <c r="A203" s="730" t="s">
        <v>2725</v>
      </c>
      <c r="B203" s="731" t="s">
        <v>2726</v>
      </c>
      <c r="C203" s="751"/>
      <c r="D203" s="752"/>
      <c r="E203" s="753" t="e">
        <f t="shared" si="13"/>
        <v>#DIV/0!</v>
      </c>
      <c r="F203" s="752">
        <v>1</v>
      </c>
      <c r="G203" s="752"/>
      <c r="H203" s="753">
        <f t="shared" si="14"/>
        <v>0</v>
      </c>
      <c r="I203" s="754">
        <f t="shared" si="15"/>
        <v>1</v>
      </c>
      <c r="J203" s="755">
        <f t="shared" si="15"/>
        <v>0</v>
      </c>
      <c r="K203" s="650">
        <f t="shared" si="16"/>
        <v>0</v>
      </c>
    </row>
    <row r="204" spans="1:11" ht="24.95" customHeight="1">
      <c r="A204" s="730" t="s">
        <v>2727</v>
      </c>
      <c r="B204" s="731" t="s">
        <v>2728</v>
      </c>
      <c r="C204" s="751">
        <v>5</v>
      </c>
      <c r="D204" s="752"/>
      <c r="E204" s="753">
        <f t="shared" si="13"/>
        <v>0</v>
      </c>
      <c r="F204" s="752">
        <v>1</v>
      </c>
      <c r="G204" s="752"/>
      <c r="H204" s="753">
        <f t="shared" si="14"/>
        <v>0</v>
      </c>
      <c r="I204" s="754">
        <f t="shared" si="15"/>
        <v>6</v>
      </c>
      <c r="J204" s="755">
        <f t="shared" si="15"/>
        <v>0</v>
      </c>
      <c r="K204" s="650">
        <f t="shared" si="16"/>
        <v>0</v>
      </c>
    </row>
    <row r="205" spans="1:11" ht="24.95" customHeight="1">
      <c r="A205" s="759" t="s">
        <v>2729</v>
      </c>
      <c r="B205" s="760" t="s">
        <v>2730</v>
      </c>
      <c r="C205" s="751"/>
      <c r="D205" s="752"/>
      <c r="E205" s="753" t="e">
        <f t="shared" si="13"/>
        <v>#DIV/0!</v>
      </c>
      <c r="F205" s="752">
        <v>2</v>
      </c>
      <c r="G205" s="752"/>
      <c r="H205" s="753">
        <f t="shared" si="14"/>
        <v>0</v>
      </c>
      <c r="I205" s="754">
        <f t="shared" si="15"/>
        <v>2</v>
      </c>
      <c r="J205" s="755">
        <f t="shared" si="15"/>
        <v>0</v>
      </c>
      <c r="K205" s="650">
        <f t="shared" si="16"/>
        <v>0</v>
      </c>
    </row>
    <row r="206" spans="1:11" ht="24.95" customHeight="1">
      <c r="A206" s="756" t="s">
        <v>2731</v>
      </c>
      <c r="B206" s="758" t="s">
        <v>2732</v>
      </c>
      <c r="C206" s="751"/>
      <c r="D206" s="752"/>
      <c r="E206" s="753" t="e">
        <f t="shared" si="13"/>
        <v>#DIV/0!</v>
      </c>
      <c r="F206" s="752">
        <v>1</v>
      </c>
      <c r="G206" s="752"/>
      <c r="H206" s="753">
        <f t="shared" si="14"/>
        <v>0</v>
      </c>
      <c r="I206" s="754">
        <f t="shared" si="15"/>
        <v>1</v>
      </c>
      <c r="J206" s="755">
        <f t="shared" si="15"/>
        <v>0</v>
      </c>
      <c r="K206" s="650">
        <f t="shared" si="16"/>
        <v>0</v>
      </c>
    </row>
    <row r="207" spans="1:11" ht="24.95" customHeight="1">
      <c r="A207" s="730" t="s">
        <v>2733</v>
      </c>
      <c r="B207" s="731" t="s">
        <v>2734</v>
      </c>
      <c r="C207" s="751"/>
      <c r="D207" s="752"/>
      <c r="E207" s="753" t="e">
        <f t="shared" si="13"/>
        <v>#DIV/0!</v>
      </c>
      <c r="F207" s="752">
        <v>10</v>
      </c>
      <c r="G207" s="752">
        <v>2</v>
      </c>
      <c r="H207" s="753">
        <f t="shared" si="14"/>
        <v>0.2</v>
      </c>
      <c r="I207" s="754">
        <f t="shared" si="15"/>
        <v>10</v>
      </c>
      <c r="J207" s="755">
        <f t="shared" si="15"/>
        <v>2</v>
      </c>
      <c r="K207" s="650">
        <f t="shared" si="16"/>
        <v>0.2</v>
      </c>
    </row>
    <row r="208" spans="1:11" ht="24.95" customHeight="1">
      <c r="A208" s="730" t="s">
        <v>2735</v>
      </c>
      <c r="B208" s="731" t="s">
        <v>2736</v>
      </c>
      <c r="C208" s="751"/>
      <c r="D208" s="752"/>
      <c r="E208" s="753" t="e">
        <f t="shared" si="13"/>
        <v>#DIV/0!</v>
      </c>
      <c r="F208" s="752">
        <v>5</v>
      </c>
      <c r="G208" s="752">
        <v>2</v>
      </c>
      <c r="H208" s="753">
        <f t="shared" si="14"/>
        <v>0.4</v>
      </c>
      <c r="I208" s="754">
        <f t="shared" si="15"/>
        <v>5</v>
      </c>
      <c r="J208" s="755">
        <f t="shared" si="15"/>
        <v>2</v>
      </c>
      <c r="K208" s="650">
        <f t="shared" si="16"/>
        <v>0.4</v>
      </c>
    </row>
    <row r="209" spans="1:11" ht="24.95" customHeight="1">
      <c r="A209" s="730" t="s">
        <v>2737</v>
      </c>
      <c r="B209" s="731" t="s">
        <v>2738</v>
      </c>
      <c r="C209" s="751"/>
      <c r="D209" s="752"/>
      <c r="E209" s="753" t="e">
        <f t="shared" si="13"/>
        <v>#DIV/0!</v>
      </c>
      <c r="F209" s="752">
        <v>1</v>
      </c>
      <c r="G209" s="752">
        <v>0</v>
      </c>
      <c r="H209" s="753">
        <f t="shared" si="14"/>
        <v>0</v>
      </c>
      <c r="I209" s="754">
        <f t="shared" si="15"/>
        <v>1</v>
      </c>
      <c r="J209" s="755">
        <f t="shared" si="15"/>
        <v>0</v>
      </c>
      <c r="K209" s="650">
        <f t="shared" si="16"/>
        <v>0</v>
      </c>
    </row>
    <row r="210" spans="1:11" ht="24.95" customHeight="1">
      <c r="A210" s="730" t="s">
        <v>2739</v>
      </c>
      <c r="B210" s="731" t="s">
        <v>2740</v>
      </c>
      <c r="C210" s="751"/>
      <c r="D210" s="752"/>
      <c r="E210" s="753" t="e">
        <f t="shared" si="13"/>
        <v>#DIV/0!</v>
      </c>
      <c r="F210" s="752">
        <v>7</v>
      </c>
      <c r="G210" s="752">
        <v>1</v>
      </c>
      <c r="H210" s="753">
        <f t="shared" si="14"/>
        <v>0.14285714285714285</v>
      </c>
      <c r="I210" s="754">
        <f t="shared" si="15"/>
        <v>7</v>
      </c>
      <c r="J210" s="755">
        <f t="shared" si="15"/>
        <v>1</v>
      </c>
      <c r="K210" s="650">
        <f t="shared" si="16"/>
        <v>0.14285714285714285</v>
      </c>
    </row>
    <row r="211" spans="1:11" ht="24.95" customHeight="1">
      <c r="A211" s="730" t="s">
        <v>2741</v>
      </c>
      <c r="B211" s="731" t="s">
        <v>2742</v>
      </c>
      <c r="C211" s="751"/>
      <c r="D211" s="752"/>
      <c r="E211" s="753" t="e">
        <f t="shared" si="13"/>
        <v>#DIV/0!</v>
      </c>
      <c r="F211" s="752">
        <v>15</v>
      </c>
      <c r="G211" s="752">
        <v>2</v>
      </c>
      <c r="H211" s="753">
        <f t="shared" si="14"/>
        <v>0.13333333333333333</v>
      </c>
      <c r="I211" s="754">
        <f t="shared" si="15"/>
        <v>15</v>
      </c>
      <c r="J211" s="755">
        <f t="shared" si="15"/>
        <v>2</v>
      </c>
      <c r="K211" s="650">
        <f t="shared" si="16"/>
        <v>0.13333333333333333</v>
      </c>
    </row>
    <row r="212" spans="1:11" ht="24.95" customHeight="1">
      <c r="A212" s="761" t="s">
        <v>2743</v>
      </c>
      <c r="B212" s="731" t="s">
        <v>2744</v>
      </c>
      <c r="C212" s="751"/>
      <c r="D212" s="752"/>
      <c r="E212" s="753" t="e">
        <f t="shared" si="13"/>
        <v>#DIV/0!</v>
      </c>
      <c r="F212" s="752">
        <v>15</v>
      </c>
      <c r="G212" s="752">
        <f>1+15</f>
        <v>16</v>
      </c>
      <c r="H212" s="753">
        <f t="shared" si="14"/>
        <v>1.0666666666666667</v>
      </c>
      <c r="I212" s="754">
        <f t="shared" si="15"/>
        <v>15</v>
      </c>
      <c r="J212" s="755">
        <f t="shared" si="15"/>
        <v>16</v>
      </c>
      <c r="K212" s="650">
        <f t="shared" si="16"/>
        <v>1.0666666666666667</v>
      </c>
    </row>
    <row r="213" spans="1:11" ht="24.95" customHeight="1">
      <c r="A213" s="761" t="s">
        <v>2745</v>
      </c>
      <c r="B213" s="731" t="s">
        <v>2746</v>
      </c>
      <c r="C213" s="751"/>
      <c r="D213" s="752"/>
      <c r="E213" s="753" t="e">
        <f t="shared" si="13"/>
        <v>#DIV/0!</v>
      </c>
      <c r="F213" s="752">
        <v>1</v>
      </c>
      <c r="G213" s="752">
        <v>0</v>
      </c>
      <c r="H213" s="753">
        <f t="shared" si="14"/>
        <v>0</v>
      </c>
      <c r="I213" s="754">
        <f t="shared" si="15"/>
        <v>1</v>
      </c>
      <c r="J213" s="755">
        <f t="shared" si="15"/>
        <v>0</v>
      </c>
      <c r="K213" s="650">
        <f t="shared" si="16"/>
        <v>0</v>
      </c>
    </row>
    <row r="214" spans="1:11" ht="24.95" customHeight="1">
      <c r="A214" s="761" t="s">
        <v>2747</v>
      </c>
      <c r="B214" s="731" t="s">
        <v>2748</v>
      </c>
      <c r="C214" s="751"/>
      <c r="D214" s="752"/>
      <c r="E214" s="753" t="e">
        <f t="shared" si="13"/>
        <v>#DIV/0!</v>
      </c>
      <c r="F214" s="752">
        <v>1</v>
      </c>
      <c r="G214" s="752">
        <v>0</v>
      </c>
      <c r="H214" s="753">
        <f t="shared" si="14"/>
        <v>0</v>
      </c>
      <c r="I214" s="754">
        <f t="shared" si="15"/>
        <v>1</v>
      </c>
      <c r="J214" s="755">
        <f t="shared" si="15"/>
        <v>0</v>
      </c>
      <c r="K214" s="650">
        <f t="shared" si="16"/>
        <v>0</v>
      </c>
    </row>
    <row r="215" spans="1:11" ht="24.95" customHeight="1">
      <c r="A215" s="761" t="s">
        <v>2749</v>
      </c>
      <c r="B215" s="731" t="s">
        <v>2750</v>
      </c>
      <c r="C215" s="751"/>
      <c r="D215" s="752"/>
      <c r="E215" s="753" t="e">
        <f t="shared" si="13"/>
        <v>#DIV/0!</v>
      </c>
      <c r="F215" s="752">
        <v>1</v>
      </c>
      <c r="G215" s="752">
        <v>1</v>
      </c>
      <c r="H215" s="753">
        <f t="shared" si="14"/>
        <v>1</v>
      </c>
      <c r="I215" s="754">
        <f t="shared" si="15"/>
        <v>1</v>
      </c>
      <c r="J215" s="755">
        <f t="shared" si="15"/>
        <v>1</v>
      </c>
      <c r="K215" s="650">
        <f t="shared" si="16"/>
        <v>1</v>
      </c>
    </row>
    <row r="216" spans="1:11" ht="24.95" customHeight="1">
      <c r="A216" s="762" t="s">
        <v>2751</v>
      </c>
      <c r="B216" s="452" t="s">
        <v>2752</v>
      </c>
      <c r="C216" s="751"/>
      <c r="D216" s="752"/>
      <c r="E216" s="753" t="e">
        <f t="shared" si="13"/>
        <v>#DIV/0!</v>
      </c>
      <c r="F216" s="752">
        <v>5</v>
      </c>
      <c r="G216" s="752">
        <v>1</v>
      </c>
      <c r="H216" s="753">
        <f t="shared" si="14"/>
        <v>0.2</v>
      </c>
      <c r="I216" s="754">
        <f t="shared" si="15"/>
        <v>5</v>
      </c>
      <c r="J216" s="755">
        <f t="shared" si="15"/>
        <v>1</v>
      </c>
      <c r="K216" s="650">
        <f t="shared" si="16"/>
        <v>0.2</v>
      </c>
    </row>
    <row r="217" spans="1:11" ht="24.95" customHeight="1">
      <c r="A217" s="762" t="s">
        <v>2753</v>
      </c>
      <c r="B217" s="452" t="s">
        <v>2754</v>
      </c>
      <c r="C217" s="751"/>
      <c r="D217" s="752"/>
      <c r="E217" s="753" t="e">
        <f t="shared" si="13"/>
        <v>#DIV/0!</v>
      </c>
      <c r="F217" s="752">
        <v>2</v>
      </c>
      <c r="G217" s="752"/>
      <c r="H217" s="753">
        <f t="shared" si="14"/>
        <v>0</v>
      </c>
      <c r="I217" s="754">
        <f t="shared" si="15"/>
        <v>2</v>
      </c>
      <c r="J217" s="755">
        <f t="shared" si="15"/>
        <v>0</v>
      </c>
      <c r="K217" s="650">
        <f t="shared" si="16"/>
        <v>0</v>
      </c>
    </row>
    <row r="218" spans="1:11" ht="24.95" customHeight="1">
      <c r="A218" s="762" t="s">
        <v>2755</v>
      </c>
      <c r="B218" s="452" t="s">
        <v>2756</v>
      </c>
      <c r="C218" s="751"/>
      <c r="D218" s="752"/>
      <c r="E218" s="753" t="e">
        <f t="shared" si="13"/>
        <v>#DIV/0!</v>
      </c>
      <c r="F218" s="752">
        <v>2</v>
      </c>
      <c r="G218" s="752"/>
      <c r="H218" s="753">
        <f t="shared" si="14"/>
        <v>0</v>
      </c>
      <c r="I218" s="754">
        <f t="shared" si="15"/>
        <v>2</v>
      </c>
      <c r="J218" s="755">
        <f t="shared" si="15"/>
        <v>0</v>
      </c>
      <c r="K218" s="650">
        <f t="shared" si="16"/>
        <v>0</v>
      </c>
    </row>
    <row r="219" spans="1:11" ht="24.95" customHeight="1">
      <c r="A219" s="756" t="s">
        <v>2757</v>
      </c>
      <c r="B219" s="757" t="s">
        <v>2758</v>
      </c>
      <c r="C219" s="751"/>
      <c r="D219" s="752"/>
      <c r="E219" s="753" t="e">
        <f t="shared" si="13"/>
        <v>#DIV/0!</v>
      </c>
      <c r="F219" s="752"/>
      <c r="G219" s="752"/>
      <c r="H219" s="753" t="e">
        <f t="shared" si="14"/>
        <v>#DIV/0!</v>
      </c>
      <c r="I219" s="754">
        <f t="shared" si="15"/>
        <v>0</v>
      </c>
      <c r="J219" s="755">
        <f t="shared" si="15"/>
        <v>0</v>
      </c>
      <c r="K219" s="650" t="e">
        <f t="shared" si="16"/>
        <v>#DIV/0!</v>
      </c>
    </row>
    <row r="220" spans="1:11" ht="24.95" customHeight="1">
      <c r="A220" s="730" t="s">
        <v>2759</v>
      </c>
      <c r="B220" s="731" t="s">
        <v>2760</v>
      </c>
      <c r="C220" s="751"/>
      <c r="D220" s="752"/>
      <c r="E220" s="753" t="e">
        <f t="shared" si="13"/>
        <v>#DIV/0!</v>
      </c>
      <c r="F220" s="752">
        <v>2</v>
      </c>
      <c r="G220" s="752"/>
      <c r="H220" s="753">
        <f t="shared" si="14"/>
        <v>0</v>
      </c>
      <c r="I220" s="754">
        <f t="shared" si="15"/>
        <v>2</v>
      </c>
      <c r="J220" s="755">
        <f t="shared" si="15"/>
        <v>0</v>
      </c>
      <c r="K220" s="650">
        <f t="shared" si="16"/>
        <v>0</v>
      </c>
    </row>
    <row r="221" spans="1:11" ht="24.95" customHeight="1">
      <c r="A221" s="763" t="s">
        <v>2761</v>
      </c>
      <c r="B221" s="764" t="s">
        <v>2762</v>
      </c>
      <c r="C221" s="765"/>
      <c r="D221" s="765"/>
      <c r="E221" s="753" t="e">
        <f t="shared" si="13"/>
        <v>#DIV/0!</v>
      </c>
      <c r="F221" s="766">
        <v>50</v>
      </c>
      <c r="G221" s="766"/>
      <c r="H221" s="753">
        <f t="shared" si="14"/>
        <v>0</v>
      </c>
      <c r="I221" s="754">
        <f t="shared" si="15"/>
        <v>50</v>
      </c>
      <c r="J221" s="755">
        <f t="shared" si="15"/>
        <v>0</v>
      </c>
      <c r="K221" s="650">
        <f t="shared" si="16"/>
        <v>0</v>
      </c>
    </row>
    <row r="222" spans="1:11" ht="24.95" customHeight="1">
      <c r="A222" s="763" t="s">
        <v>2763</v>
      </c>
      <c r="B222" s="764" t="s">
        <v>2764</v>
      </c>
      <c r="C222" s="445"/>
      <c r="D222" s="767"/>
      <c r="E222" s="753" t="e">
        <f t="shared" si="13"/>
        <v>#DIV/0!</v>
      </c>
      <c r="F222" s="767">
        <v>5</v>
      </c>
      <c r="G222" s="767"/>
      <c r="H222" s="753">
        <f t="shared" si="14"/>
        <v>0</v>
      </c>
      <c r="I222" s="754">
        <f t="shared" si="15"/>
        <v>5</v>
      </c>
      <c r="J222" s="755">
        <f t="shared" si="15"/>
        <v>0</v>
      </c>
      <c r="K222" s="650">
        <f t="shared" si="16"/>
        <v>0</v>
      </c>
    </row>
    <row r="223" spans="1:11" ht="24.95" customHeight="1">
      <c r="A223" s="763" t="s">
        <v>2765</v>
      </c>
      <c r="B223" s="764" t="s">
        <v>2766</v>
      </c>
      <c r="C223" s="768"/>
      <c r="D223" s="768"/>
      <c r="E223" s="753" t="e">
        <f t="shared" si="13"/>
        <v>#DIV/0!</v>
      </c>
      <c r="F223" s="769">
        <v>5</v>
      </c>
      <c r="G223" s="769"/>
      <c r="H223" s="753">
        <f t="shared" si="14"/>
        <v>0</v>
      </c>
      <c r="I223" s="754">
        <f t="shared" si="15"/>
        <v>5</v>
      </c>
      <c r="J223" s="755">
        <f t="shared" si="15"/>
        <v>0</v>
      </c>
      <c r="K223" s="650">
        <f t="shared" si="16"/>
        <v>0</v>
      </c>
    </row>
    <row r="224" spans="1:11" ht="24.95" customHeight="1">
      <c r="A224" s="763" t="s">
        <v>2767</v>
      </c>
      <c r="B224" s="764" t="s">
        <v>2768</v>
      </c>
      <c r="C224" s="445"/>
      <c r="D224" s="767"/>
      <c r="E224" s="753" t="e">
        <f t="shared" si="13"/>
        <v>#DIV/0!</v>
      </c>
      <c r="F224" s="767">
        <v>2</v>
      </c>
      <c r="G224" s="767"/>
      <c r="H224" s="753">
        <f t="shared" si="14"/>
        <v>0</v>
      </c>
      <c r="I224" s="754">
        <f t="shared" si="15"/>
        <v>2</v>
      </c>
      <c r="J224" s="755">
        <f t="shared" si="15"/>
        <v>0</v>
      </c>
      <c r="K224" s="650">
        <f t="shared" si="16"/>
        <v>0</v>
      </c>
    </row>
    <row r="225" spans="1:11" ht="24.95" customHeight="1">
      <c r="A225" s="763" t="s">
        <v>2769</v>
      </c>
      <c r="B225" s="764" t="s">
        <v>2770</v>
      </c>
      <c r="C225" s="445"/>
      <c r="D225" s="767"/>
      <c r="E225" s="753" t="e">
        <f t="shared" si="13"/>
        <v>#DIV/0!</v>
      </c>
      <c r="F225" s="767">
        <v>15</v>
      </c>
      <c r="G225" s="767"/>
      <c r="H225" s="753">
        <f t="shared" si="14"/>
        <v>0</v>
      </c>
      <c r="I225" s="754">
        <f t="shared" si="15"/>
        <v>15</v>
      </c>
      <c r="J225" s="755">
        <f t="shared" si="15"/>
        <v>0</v>
      </c>
      <c r="K225" s="650">
        <f t="shared" si="16"/>
        <v>0</v>
      </c>
    </row>
    <row r="226" spans="1:11" ht="24.95" customHeight="1">
      <c r="A226" s="763" t="s">
        <v>2771</v>
      </c>
      <c r="B226" s="764" t="s">
        <v>2772</v>
      </c>
      <c r="C226" s="445"/>
      <c r="D226" s="767"/>
      <c r="E226" s="753" t="e">
        <f t="shared" si="13"/>
        <v>#DIV/0!</v>
      </c>
      <c r="F226" s="767">
        <v>1</v>
      </c>
      <c r="G226" s="767"/>
      <c r="H226" s="753">
        <f t="shared" si="14"/>
        <v>0</v>
      </c>
      <c r="I226" s="754">
        <f t="shared" si="15"/>
        <v>1</v>
      </c>
      <c r="J226" s="755">
        <f t="shared" si="15"/>
        <v>0</v>
      </c>
      <c r="K226" s="650">
        <f t="shared" si="16"/>
        <v>0</v>
      </c>
    </row>
    <row r="227" spans="1:11" ht="24.95" customHeight="1">
      <c r="A227" s="763" t="s">
        <v>2773</v>
      </c>
      <c r="B227" s="764" t="s">
        <v>2774</v>
      </c>
      <c r="C227" s="770"/>
      <c r="D227" s="770"/>
      <c r="E227" s="753" t="e">
        <f t="shared" si="13"/>
        <v>#DIV/0!</v>
      </c>
      <c r="F227" s="766">
        <v>2</v>
      </c>
      <c r="G227" s="766"/>
      <c r="H227" s="753">
        <f t="shared" si="14"/>
        <v>0</v>
      </c>
      <c r="I227" s="754">
        <f t="shared" si="15"/>
        <v>2</v>
      </c>
      <c r="J227" s="755">
        <f t="shared" si="15"/>
        <v>0</v>
      </c>
      <c r="K227" s="650">
        <f t="shared" si="16"/>
        <v>0</v>
      </c>
    </row>
    <row r="228" spans="1:11" ht="24.95" customHeight="1">
      <c r="A228" s="763" t="s">
        <v>2775</v>
      </c>
      <c r="B228" s="764" t="s">
        <v>2776</v>
      </c>
      <c r="C228" s="770"/>
      <c r="D228" s="770"/>
      <c r="E228" s="753" t="e">
        <f t="shared" si="13"/>
        <v>#DIV/0!</v>
      </c>
      <c r="F228" s="766">
        <v>6</v>
      </c>
      <c r="G228" s="766"/>
      <c r="H228" s="753">
        <f t="shared" si="14"/>
        <v>0</v>
      </c>
      <c r="I228" s="754">
        <f t="shared" si="15"/>
        <v>6</v>
      </c>
      <c r="J228" s="755">
        <f t="shared" si="15"/>
        <v>0</v>
      </c>
      <c r="K228" s="650">
        <f t="shared" si="16"/>
        <v>0</v>
      </c>
    </row>
    <row r="229" spans="1:11" ht="24.95" customHeight="1">
      <c r="A229" s="730"/>
      <c r="B229" s="731" t="s">
        <v>2</v>
      </c>
      <c r="C229" s="751">
        <f t="shared" ref="C229:G229" si="17">SUM(C178:C228)</f>
        <v>10</v>
      </c>
      <c r="D229" s="751">
        <f t="shared" si="17"/>
        <v>0</v>
      </c>
      <c r="E229" s="753">
        <f t="shared" si="13"/>
        <v>0</v>
      </c>
      <c r="F229" s="751">
        <f t="shared" si="17"/>
        <v>404</v>
      </c>
      <c r="G229" s="751">
        <f t="shared" si="17"/>
        <v>115</v>
      </c>
      <c r="H229" s="753">
        <f t="shared" si="14"/>
        <v>0.28465346534653463</v>
      </c>
      <c r="I229" s="754">
        <f t="shared" si="15"/>
        <v>414</v>
      </c>
      <c r="J229" s="771">
        <f>SUM(J178:J220)</f>
        <v>115</v>
      </c>
      <c r="K229" s="650">
        <f t="shared" si="16"/>
        <v>0.27777777777777779</v>
      </c>
    </row>
    <row r="230" spans="1:11" ht="24.95" customHeight="1">
      <c r="A230" s="730"/>
      <c r="B230" s="772" t="s">
        <v>2777</v>
      </c>
      <c r="C230" s="773"/>
      <c r="D230" s="774"/>
      <c r="E230" s="775"/>
      <c r="F230" s="774"/>
      <c r="G230" s="774"/>
      <c r="H230" s="775"/>
      <c r="I230" s="776"/>
      <c r="J230" s="777"/>
      <c r="K230" s="650"/>
    </row>
    <row r="231" spans="1:11" ht="24.95" customHeight="1">
      <c r="A231" s="756" t="s">
        <v>2675</v>
      </c>
      <c r="B231" s="757" t="s">
        <v>2676</v>
      </c>
      <c r="C231" s="751">
        <v>0</v>
      </c>
      <c r="D231" s="752"/>
      <c r="E231" s="753" t="e">
        <f>+D231/C231</f>
        <v>#DIV/0!</v>
      </c>
      <c r="F231" s="752">
        <v>0</v>
      </c>
      <c r="G231" s="751"/>
      <c r="H231" s="778" t="e">
        <f>+G231/F231</f>
        <v>#DIV/0!</v>
      </c>
      <c r="I231" s="754">
        <f>+C231+F231</f>
        <v>0</v>
      </c>
      <c r="J231" s="755">
        <f>+D231+G231</f>
        <v>0</v>
      </c>
      <c r="K231" s="650" t="e">
        <f>+J231/I231</f>
        <v>#DIV/0!</v>
      </c>
    </row>
    <row r="232" spans="1:11" ht="24.95" customHeight="1">
      <c r="A232" s="756" t="s">
        <v>2778</v>
      </c>
      <c r="B232" s="758" t="s">
        <v>2779</v>
      </c>
      <c r="C232" s="751">
        <v>0</v>
      </c>
      <c r="D232" s="752"/>
      <c r="E232" s="753" t="e">
        <f t="shared" ref="E232:E237" si="18">+D232/C232</f>
        <v>#DIV/0!</v>
      </c>
      <c r="F232" s="752">
        <v>230</v>
      </c>
      <c r="G232" s="751">
        <f>125+2</f>
        <v>127</v>
      </c>
      <c r="H232" s="778">
        <f t="shared" ref="H232:H237" si="19">+G232/F232</f>
        <v>0.55217391304347829</v>
      </c>
      <c r="I232" s="754">
        <f>+C232+F232</f>
        <v>230</v>
      </c>
      <c r="J232" s="755">
        <f t="shared" ref="J232:J235" si="20">+D232+G232</f>
        <v>127</v>
      </c>
      <c r="K232" s="650">
        <f t="shared" ref="K232:K237" si="21">+J232/I232</f>
        <v>0.55217391304347829</v>
      </c>
    </row>
    <row r="233" spans="1:11" ht="24.95" customHeight="1">
      <c r="A233" s="730" t="s">
        <v>2780</v>
      </c>
      <c r="B233" s="731" t="s">
        <v>2781</v>
      </c>
      <c r="C233" s="751">
        <v>0</v>
      </c>
      <c r="D233" s="752"/>
      <c r="E233" s="753" t="e">
        <f t="shared" si="18"/>
        <v>#DIV/0!</v>
      </c>
      <c r="F233" s="752">
        <v>105</v>
      </c>
      <c r="G233" s="751">
        <v>56</v>
      </c>
      <c r="H233" s="778">
        <f t="shared" si="19"/>
        <v>0.53333333333333333</v>
      </c>
      <c r="I233" s="754">
        <f>+C233+F233</f>
        <v>105</v>
      </c>
      <c r="J233" s="755">
        <f t="shared" si="20"/>
        <v>56</v>
      </c>
      <c r="K233" s="650">
        <f t="shared" si="21"/>
        <v>0.53333333333333333</v>
      </c>
    </row>
    <row r="234" spans="1:11" ht="24.95" customHeight="1">
      <c r="A234" s="730" t="s">
        <v>2782</v>
      </c>
      <c r="B234" s="731" t="s">
        <v>2783</v>
      </c>
      <c r="C234" s="751"/>
      <c r="D234" s="752"/>
      <c r="E234" s="753" t="e">
        <f t="shared" si="18"/>
        <v>#DIV/0!</v>
      </c>
      <c r="F234" s="752">
        <v>0</v>
      </c>
      <c r="G234" s="751"/>
      <c r="H234" s="778" t="e">
        <f t="shared" si="19"/>
        <v>#DIV/0!</v>
      </c>
      <c r="I234" s="754">
        <f>+C234+F234</f>
        <v>0</v>
      </c>
      <c r="J234" s="755">
        <f t="shared" si="20"/>
        <v>0</v>
      </c>
      <c r="K234" s="650" t="e">
        <f t="shared" si="21"/>
        <v>#DIV/0!</v>
      </c>
    </row>
    <row r="235" spans="1:11" ht="24.95" customHeight="1">
      <c r="A235" s="730" t="s">
        <v>2784</v>
      </c>
      <c r="B235" s="731" t="s">
        <v>2785</v>
      </c>
      <c r="C235" s="751"/>
      <c r="D235" s="752"/>
      <c r="E235" s="753" t="e">
        <f t="shared" si="18"/>
        <v>#DIV/0!</v>
      </c>
      <c r="F235" s="752">
        <v>0</v>
      </c>
      <c r="G235" s="751"/>
      <c r="H235" s="778" t="e">
        <f t="shared" si="19"/>
        <v>#DIV/0!</v>
      </c>
      <c r="I235" s="754">
        <f>+C235+F235</f>
        <v>0</v>
      </c>
      <c r="J235" s="755">
        <f t="shared" si="20"/>
        <v>0</v>
      </c>
      <c r="K235" s="650" t="e">
        <f t="shared" si="21"/>
        <v>#DIV/0!</v>
      </c>
    </row>
    <row r="236" spans="1:11" ht="24.95" customHeight="1">
      <c r="A236" s="730"/>
      <c r="B236" s="731" t="s">
        <v>2</v>
      </c>
      <c r="C236" s="779">
        <f t="shared" ref="C236:J236" si="22">SUM(C231:C235)</f>
        <v>0</v>
      </c>
      <c r="D236" s="779">
        <f t="shared" si="22"/>
        <v>0</v>
      </c>
      <c r="E236" s="753" t="e">
        <f t="shared" si="18"/>
        <v>#DIV/0!</v>
      </c>
      <c r="F236" s="779">
        <f t="shared" si="22"/>
        <v>335</v>
      </c>
      <c r="G236" s="780"/>
      <c r="H236" s="778">
        <f t="shared" si="19"/>
        <v>0</v>
      </c>
      <c r="I236" s="781">
        <f t="shared" si="22"/>
        <v>335</v>
      </c>
      <c r="J236" s="781">
        <f t="shared" si="22"/>
        <v>183</v>
      </c>
      <c r="K236" s="650">
        <f t="shared" si="21"/>
        <v>0.54626865671641789</v>
      </c>
    </row>
    <row r="237" spans="1:11" ht="24.95" customHeight="1">
      <c r="A237" s="730"/>
      <c r="B237" s="782" t="s">
        <v>2786</v>
      </c>
      <c r="C237" s="779">
        <f t="shared" ref="C237:J237" si="23">+C229+C236</f>
        <v>10</v>
      </c>
      <c r="D237" s="779">
        <f t="shared" si="23"/>
        <v>0</v>
      </c>
      <c r="E237" s="753">
        <f t="shared" si="18"/>
        <v>0</v>
      </c>
      <c r="F237" s="779">
        <f t="shared" si="23"/>
        <v>739</v>
      </c>
      <c r="G237" s="779">
        <f t="shared" si="23"/>
        <v>115</v>
      </c>
      <c r="H237" s="778">
        <f t="shared" si="19"/>
        <v>0.15561569688768606</v>
      </c>
      <c r="I237" s="781">
        <f t="shared" si="23"/>
        <v>749</v>
      </c>
      <c r="J237" s="781">
        <f t="shared" si="23"/>
        <v>298</v>
      </c>
      <c r="K237" s="650">
        <f t="shared" si="21"/>
        <v>0.39786381842456608</v>
      </c>
    </row>
    <row r="238" spans="1:11" ht="24.95" customHeight="1">
      <c r="A238" s="783"/>
      <c r="B238" s="784" t="s">
        <v>2787</v>
      </c>
      <c r="C238" s="2212"/>
      <c r="D238" s="2213"/>
      <c r="E238" s="2213"/>
      <c r="F238" s="2213"/>
      <c r="G238" s="2213"/>
      <c r="H238" s="2213"/>
      <c r="I238" s="2213"/>
      <c r="J238" s="2213"/>
      <c r="K238" s="2214"/>
    </row>
    <row r="239" spans="1:11" ht="24.95" customHeight="1">
      <c r="A239" s="785"/>
      <c r="B239" s="786" t="s">
        <v>2788</v>
      </c>
      <c r="C239" s="2215"/>
      <c r="D239" s="2216"/>
      <c r="E239" s="2216"/>
      <c r="F239" s="2216"/>
      <c r="G239" s="2216"/>
      <c r="H239" s="2216"/>
      <c r="I239" s="2216"/>
      <c r="J239" s="2216"/>
      <c r="K239" s="2217"/>
    </row>
    <row r="240" spans="1:11" ht="24.95" customHeight="1">
      <c r="A240" s="787" t="s">
        <v>2387</v>
      </c>
      <c r="B240" s="788" t="s">
        <v>2388</v>
      </c>
      <c r="C240" s="751"/>
      <c r="D240" s="752"/>
      <c r="E240" s="753" t="e">
        <f>+D240/C240</f>
        <v>#DIV/0!</v>
      </c>
      <c r="F240" s="789">
        <v>550</v>
      </c>
      <c r="G240" s="751">
        <v>215</v>
      </c>
      <c r="H240" s="790">
        <f>+G240/F240</f>
        <v>0.39090909090909093</v>
      </c>
      <c r="I240" s="754">
        <f t="shared" ref="I240:J271" si="24">+C240+F240</f>
        <v>550</v>
      </c>
      <c r="J240" s="755">
        <f>+D240+G240</f>
        <v>215</v>
      </c>
      <c r="K240" s="650">
        <f>+J240/I240</f>
        <v>0.39090909090909093</v>
      </c>
    </row>
    <row r="241" spans="1:11" ht="24.95" customHeight="1">
      <c r="A241" s="787" t="s">
        <v>2789</v>
      </c>
      <c r="B241" s="788" t="s">
        <v>2386</v>
      </c>
      <c r="C241" s="751"/>
      <c r="D241" s="752"/>
      <c r="E241" s="753" t="e">
        <f t="shared" ref="E241:E304" si="25">+D241/C241</f>
        <v>#DIV/0!</v>
      </c>
      <c r="F241" s="789">
        <v>0</v>
      </c>
      <c r="G241" s="751">
        <v>1</v>
      </c>
      <c r="H241" s="790" t="e">
        <f t="shared" ref="H241:H304" si="26">+G241/F241</f>
        <v>#DIV/0!</v>
      </c>
      <c r="I241" s="754">
        <f t="shared" si="24"/>
        <v>0</v>
      </c>
      <c r="J241" s="755">
        <f t="shared" si="24"/>
        <v>1</v>
      </c>
      <c r="K241" s="650" t="e">
        <f t="shared" ref="K241:K304" si="27">+J241/I241</f>
        <v>#DIV/0!</v>
      </c>
    </row>
    <row r="242" spans="1:11" ht="24.95" customHeight="1">
      <c r="A242" s="750">
        <v>130207</v>
      </c>
      <c r="B242" s="791" t="s">
        <v>2390</v>
      </c>
      <c r="C242" s="751">
        <v>45</v>
      </c>
      <c r="D242" s="752">
        <v>16</v>
      </c>
      <c r="E242" s="753">
        <f t="shared" si="25"/>
        <v>0.35555555555555557</v>
      </c>
      <c r="F242" s="789">
        <v>450</v>
      </c>
      <c r="G242" s="751">
        <v>176</v>
      </c>
      <c r="H242" s="790">
        <f t="shared" si="26"/>
        <v>0.39111111111111113</v>
      </c>
      <c r="I242" s="754">
        <f t="shared" si="24"/>
        <v>495</v>
      </c>
      <c r="J242" s="755">
        <f t="shared" si="24"/>
        <v>192</v>
      </c>
      <c r="K242" s="650">
        <f t="shared" si="27"/>
        <v>0.38787878787878788</v>
      </c>
    </row>
    <row r="243" spans="1:11" ht="24.95" customHeight="1">
      <c r="A243" s="787" t="s">
        <v>2790</v>
      </c>
      <c r="B243" s="760" t="s">
        <v>2791</v>
      </c>
      <c r="C243" s="751">
        <v>15</v>
      </c>
      <c r="D243" s="752">
        <v>17</v>
      </c>
      <c r="E243" s="753">
        <f t="shared" si="25"/>
        <v>1.1333333333333333</v>
      </c>
      <c r="F243" s="789"/>
      <c r="G243" s="751"/>
      <c r="H243" s="790" t="e">
        <f t="shared" si="26"/>
        <v>#DIV/0!</v>
      </c>
      <c r="I243" s="754">
        <f t="shared" si="24"/>
        <v>15</v>
      </c>
      <c r="J243" s="755">
        <f t="shared" si="24"/>
        <v>17</v>
      </c>
      <c r="K243" s="650">
        <f t="shared" si="27"/>
        <v>1.1333333333333333</v>
      </c>
    </row>
    <row r="244" spans="1:11" ht="24.95" customHeight="1">
      <c r="A244" s="750" t="s">
        <v>2393</v>
      </c>
      <c r="B244" s="452" t="s">
        <v>2394</v>
      </c>
      <c r="C244" s="751"/>
      <c r="D244" s="752"/>
      <c r="E244" s="753" t="e">
        <f t="shared" si="25"/>
        <v>#DIV/0!</v>
      </c>
      <c r="F244" s="789">
        <v>20</v>
      </c>
      <c r="G244" s="751">
        <v>15</v>
      </c>
      <c r="H244" s="790">
        <f t="shared" si="26"/>
        <v>0.75</v>
      </c>
      <c r="I244" s="754">
        <f t="shared" si="24"/>
        <v>20</v>
      </c>
      <c r="J244" s="755">
        <f t="shared" si="24"/>
        <v>15</v>
      </c>
      <c r="K244" s="650">
        <f t="shared" si="27"/>
        <v>0.75</v>
      </c>
    </row>
    <row r="245" spans="1:11" ht="24.95" customHeight="1">
      <c r="A245" s="750" t="s">
        <v>2395</v>
      </c>
      <c r="B245" s="452" t="s">
        <v>2396</v>
      </c>
      <c r="C245" s="751"/>
      <c r="D245" s="752"/>
      <c r="E245" s="753" t="e">
        <f t="shared" si="25"/>
        <v>#DIV/0!</v>
      </c>
      <c r="F245" s="789">
        <v>130</v>
      </c>
      <c r="G245" s="751">
        <v>54</v>
      </c>
      <c r="H245" s="790">
        <f t="shared" si="26"/>
        <v>0.41538461538461541</v>
      </c>
      <c r="I245" s="754">
        <f t="shared" si="24"/>
        <v>130</v>
      </c>
      <c r="J245" s="755">
        <f t="shared" si="24"/>
        <v>54</v>
      </c>
      <c r="K245" s="650">
        <f t="shared" si="27"/>
        <v>0.41538461538461541</v>
      </c>
    </row>
    <row r="246" spans="1:11" ht="24.95" customHeight="1">
      <c r="A246" s="750" t="s">
        <v>2792</v>
      </c>
      <c r="B246" s="760" t="s">
        <v>2402</v>
      </c>
      <c r="C246" s="751">
        <v>5</v>
      </c>
      <c r="D246" s="752">
        <v>1</v>
      </c>
      <c r="E246" s="753">
        <f t="shared" si="25"/>
        <v>0.2</v>
      </c>
      <c r="F246" s="789">
        <v>3000</v>
      </c>
      <c r="G246" s="751">
        <v>1312</v>
      </c>
      <c r="H246" s="790">
        <f t="shared" si="26"/>
        <v>0.43733333333333335</v>
      </c>
      <c r="I246" s="754">
        <f t="shared" si="24"/>
        <v>3005</v>
      </c>
      <c r="J246" s="755">
        <f t="shared" si="24"/>
        <v>1313</v>
      </c>
      <c r="K246" s="650">
        <f t="shared" si="27"/>
        <v>0.43693843594009985</v>
      </c>
    </row>
    <row r="247" spans="1:11" ht="24.95" customHeight="1">
      <c r="A247" s="750" t="s">
        <v>2405</v>
      </c>
      <c r="B247" s="760" t="s">
        <v>2793</v>
      </c>
      <c r="C247" s="751"/>
      <c r="D247" s="752"/>
      <c r="E247" s="753" t="e">
        <f t="shared" si="25"/>
        <v>#DIV/0!</v>
      </c>
      <c r="F247" s="789">
        <v>0</v>
      </c>
      <c r="G247" s="751"/>
      <c r="H247" s="790" t="e">
        <f t="shared" si="26"/>
        <v>#DIV/0!</v>
      </c>
      <c r="I247" s="754">
        <f t="shared" si="24"/>
        <v>0</v>
      </c>
      <c r="J247" s="755">
        <f t="shared" si="24"/>
        <v>0</v>
      </c>
      <c r="K247" s="650" t="e">
        <f t="shared" si="27"/>
        <v>#DIV/0!</v>
      </c>
    </row>
    <row r="248" spans="1:11" ht="24.95" customHeight="1">
      <c r="A248" s="750" t="s">
        <v>2794</v>
      </c>
      <c r="B248" s="452" t="s">
        <v>2795</v>
      </c>
      <c r="C248" s="751">
        <v>10</v>
      </c>
      <c r="D248" s="752"/>
      <c r="E248" s="753">
        <f t="shared" si="25"/>
        <v>0</v>
      </c>
      <c r="F248" s="789">
        <v>5</v>
      </c>
      <c r="G248" s="751"/>
      <c r="H248" s="790">
        <f t="shared" si="26"/>
        <v>0</v>
      </c>
      <c r="I248" s="754">
        <f t="shared" si="24"/>
        <v>15</v>
      </c>
      <c r="J248" s="755">
        <f t="shared" si="24"/>
        <v>0</v>
      </c>
      <c r="K248" s="650">
        <f t="shared" si="27"/>
        <v>0</v>
      </c>
    </row>
    <row r="249" spans="1:11" ht="24.95" customHeight="1">
      <c r="A249" s="750" t="s">
        <v>2796</v>
      </c>
      <c r="B249" s="452" t="s">
        <v>2797</v>
      </c>
      <c r="C249" s="751"/>
      <c r="D249" s="752"/>
      <c r="E249" s="753" t="e">
        <f t="shared" si="25"/>
        <v>#DIV/0!</v>
      </c>
      <c r="F249" s="789">
        <v>0</v>
      </c>
      <c r="G249" s="751"/>
      <c r="H249" s="790" t="e">
        <f t="shared" si="26"/>
        <v>#DIV/0!</v>
      </c>
      <c r="I249" s="754">
        <f t="shared" si="24"/>
        <v>0</v>
      </c>
      <c r="J249" s="755">
        <f t="shared" si="24"/>
        <v>0</v>
      </c>
      <c r="K249" s="650" t="e">
        <f t="shared" si="27"/>
        <v>#DIV/0!</v>
      </c>
    </row>
    <row r="250" spans="1:11" ht="24.95" customHeight="1">
      <c r="A250" s="750" t="s">
        <v>2798</v>
      </c>
      <c r="B250" s="452" t="s">
        <v>2799</v>
      </c>
      <c r="C250" s="751">
        <v>750</v>
      </c>
      <c r="D250" s="752">
        <v>275</v>
      </c>
      <c r="E250" s="753">
        <f t="shared" si="25"/>
        <v>0.36666666666666664</v>
      </c>
      <c r="F250" s="789">
        <v>3800</v>
      </c>
      <c r="G250" s="751">
        <v>1121</v>
      </c>
      <c r="H250" s="790">
        <f t="shared" si="26"/>
        <v>0.29499999999999998</v>
      </c>
      <c r="I250" s="754">
        <f t="shared" si="24"/>
        <v>4550</v>
      </c>
      <c r="J250" s="755">
        <f t="shared" si="24"/>
        <v>1396</v>
      </c>
      <c r="K250" s="650">
        <f t="shared" si="27"/>
        <v>0.30681318681318681</v>
      </c>
    </row>
    <row r="251" spans="1:11" ht="24.95" customHeight="1">
      <c r="A251" s="750" t="s">
        <v>2800</v>
      </c>
      <c r="B251" s="452" t="s">
        <v>2678</v>
      </c>
      <c r="C251" s="751"/>
      <c r="D251" s="752"/>
      <c r="E251" s="753" t="e">
        <f t="shared" si="25"/>
        <v>#DIV/0!</v>
      </c>
      <c r="F251" s="789">
        <v>10</v>
      </c>
      <c r="G251" s="751">
        <v>3</v>
      </c>
      <c r="H251" s="790">
        <f t="shared" si="26"/>
        <v>0.3</v>
      </c>
      <c r="I251" s="754">
        <f t="shared" si="24"/>
        <v>10</v>
      </c>
      <c r="J251" s="755">
        <f t="shared" si="24"/>
        <v>3</v>
      </c>
      <c r="K251" s="650">
        <f t="shared" si="27"/>
        <v>0.3</v>
      </c>
    </row>
    <row r="252" spans="1:11" ht="24.95" customHeight="1">
      <c r="A252" s="750" t="s">
        <v>2801</v>
      </c>
      <c r="B252" s="452" t="s">
        <v>2802</v>
      </c>
      <c r="C252" s="751"/>
      <c r="D252" s="752"/>
      <c r="E252" s="753" t="e">
        <f t="shared" si="25"/>
        <v>#DIV/0!</v>
      </c>
      <c r="F252" s="789">
        <v>10</v>
      </c>
      <c r="G252" s="751">
        <v>2</v>
      </c>
      <c r="H252" s="790">
        <f t="shared" si="26"/>
        <v>0.2</v>
      </c>
      <c r="I252" s="754">
        <f t="shared" si="24"/>
        <v>10</v>
      </c>
      <c r="J252" s="755">
        <f t="shared" si="24"/>
        <v>2</v>
      </c>
      <c r="K252" s="650">
        <f t="shared" si="27"/>
        <v>0.2</v>
      </c>
    </row>
    <row r="253" spans="1:11" ht="24.95" customHeight="1">
      <c r="A253" s="762" t="s">
        <v>2803</v>
      </c>
      <c r="B253" s="452" t="s">
        <v>2804</v>
      </c>
      <c r="C253" s="751"/>
      <c r="D253" s="752"/>
      <c r="E253" s="753" t="e">
        <f t="shared" si="25"/>
        <v>#DIV/0!</v>
      </c>
      <c r="F253" s="789"/>
      <c r="G253" s="751"/>
      <c r="H253" s="790" t="e">
        <f t="shared" si="26"/>
        <v>#DIV/0!</v>
      </c>
      <c r="I253" s="754">
        <f t="shared" si="24"/>
        <v>0</v>
      </c>
      <c r="J253" s="755">
        <f t="shared" si="24"/>
        <v>0</v>
      </c>
      <c r="K253" s="650" t="e">
        <f t="shared" si="27"/>
        <v>#DIV/0!</v>
      </c>
    </row>
    <row r="254" spans="1:11" ht="24.95" customHeight="1">
      <c r="A254" s="730" t="s">
        <v>2805</v>
      </c>
      <c r="B254" s="792" t="s">
        <v>2806</v>
      </c>
      <c r="C254" s="751"/>
      <c r="D254" s="752"/>
      <c r="E254" s="753" t="e">
        <f t="shared" si="25"/>
        <v>#DIV/0!</v>
      </c>
      <c r="F254" s="789">
        <v>390</v>
      </c>
      <c r="G254" s="751">
        <v>173</v>
      </c>
      <c r="H254" s="790">
        <f t="shared" si="26"/>
        <v>0.44358974358974357</v>
      </c>
      <c r="I254" s="754">
        <f t="shared" si="24"/>
        <v>390</v>
      </c>
      <c r="J254" s="755">
        <f t="shared" si="24"/>
        <v>173</v>
      </c>
      <c r="K254" s="650">
        <f t="shared" si="27"/>
        <v>0.44358974358974357</v>
      </c>
    </row>
    <row r="255" spans="1:11" ht="24.95" customHeight="1">
      <c r="A255" s="793">
        <v>241026</v>
      </c>
      <c r="B255" s="792" t="s">
        <v>2663</v>
      </c>
      <c r="C255" s="751"/>
      <c r="D255" s="752"/>
      <c r="E255" s="753" t="e">
        <f t="shared" si="25"/>
        <v>#DIV/0!</v>
      </c>
      <c r="F255" s="789">
        <v>0</v>
      </c>
      <c r="G255" s="751"/>
      <c r="H255" s="790" t="e">
        <f t="shared" si="26"/>
        <v>#DIV/0!</v>
      </c>
      <c r="I255" s="754">
        <f t="shared" si="24"/>
        <v>0</v>
      </c>
      <c r="J255" s="755">
        <f t="shared" si="24"/>
        <v>0</v>
      </c>
      <c r="K255" s="650" t="e">
        <f t="shared" si="27"/>
        <v>#DIV/0!</v>
      </c>
    </row>
    <row r="256" spans="1:11" ht="24.95" customHeight="1">
      <c r="A256" s="793">
        <v>260091</v>
      </c>
      <c r="B256" s="792" t="s">
        <v>2807</v>
      </c>
      <c r="C256" s="751"/>
      <c r="D256" s="752"/>
      <c r="E256" s="753" t="e">
        <f t="shared" si="25"/>
        <v>#DIV/0!</v>
      </c>
      <c r="F256" s="789">
        <v>4</v>
      </c>
      <c r="G256" s="751"/>
      <c r="H256" s="790">
        <f t="shared" si="26"/>
        <v>0</v>
      </c>
      <c r="I256" s="754">
        <f t="shared" si="24"/>
        <v>4</v>
      </c>
      <c r="J256" s="755">
        <f t="shared" si="24"/>
        <v>0</v>
      </c>
      <c r="K256" s="650">
        <f t="shared" si="27"/>
        <v>0</v>
      </c>
    </row>
    <row r="257" spans="1:11" ht="24.95" customHeight="1">
      <c r="A257" s="794" t="s">
        <v>2808</v>
      </c>
      <c r="B257" s="795" t="s">
        <v>2809</v>
      </c>
      <c r="C257" s="751"/>
      <c r="D257" s="752"/>
      <c r="E257" s="753" t="e">
        <f t="shared" si="25"/>
        <v>#DIV/0!</v>
      </c>
      <c r="F257" s="789">
        <v>10</v>
      </c>
      <c r="G257" s="751"/>
      <c r="H257" s="790">
        <f t="shared" si="26"/>
        <v>0</v>
      </c>
      <c r="I257" s="754">
        <f t="shared" si="24"/>
        <v>10</v>
      </c>
      <c r="J257" s="755">
        <f t="shared" si="24"/>
        <v>0</v>
      </c>
      <c r="K257" s="650">
        <f t="shared" si="27"/>
        <v>0</v>
      </c>
    </row>
    <row r="258" spans="1:11" ht="24.95" customHeight="1">
      <c r="A258" s="794" t="s">
        <v>2810</v>
      </c>
      <c r="B258" s="795" t="s">
        <v>2811</v>
      </c>
      <c r="C258" s="751"/>
      <c r="D258" s="752"/>
      <c r="E258" s="753" t="e">
        <f t="shared" si="25"/>
        <v>#DIV/0!</v>
      </c>
      <c r="F258" s="789">
        <v>10</v>
      </c>
      <c r="G258" s="751"/>
      <c r="H258" s="790">
        <f t="shared" si="26"/>
        <v>0</v>
      </c>
      <c r="I258" s="754">
        <f t="shared" si="24"/>
        <v>10</v>
      </c>
      <c r="J258" s="755">
        <f t="shared" si="24"/>
        <v>0</v>
      </c>
      <c r="K258" s="650">
        <f t="shared" si="27"/>
        <v>0</v>
      </c>
    </row>
    <row r="259" spans="1:11" ht="24.95" customHeight="1">
      <c r="A259" s="794" t="s">
        <v>2812</v>
      </c>
      <c r="B259" s="795" t="s">
        <v>2813</v>
      </c>
      <c r="C259" s="751"/>
      <c r="D259" s="752"/>
      <c r="E259" s="753" t="e">
        <f t="shared" si="25"/>
        <v>#DIV/0!</v>
      </c>
      <c r="F259" s="789">
        <v>10</v>
      </c>
      <c r="G259" s="751"/>
      <c r="H259" s="790">
        <f t="shared" si="26"/>
        <v>0</v>
      </c>
      <c r="I259" s="754">
        <f t="shared" si="24"/>
        <v>10</v>
      </c>
      <c r="J259" s="755">
        <f t="shared" si="24"/>
        <v>0</v>
      </c>
      <c r="K259" s="650">
        <f t="shared" si="27"/>
        <v>0</v>
      </c>
    </row>
    <row r="260" spans="1:11" ht="24.95" customHeight="1">
      <c r="A260" s="796" t="s">
        <v>2423</v>
      </c>
      <c r="B260" s="797" t="s">
        <v>2814</v>
      </c>
      <c r="C260" s="751">
        <v>490</v>
      </c>
      <c r="D260" s="752">
        <v>213</v>
      </c>
      <c r="E260" s="753">
        <f t="shared" si="25"/>
        <v>0.4346938775510204</v>
      </c>
      <c r="F260" s="789">
        <v>150</v>
      </c>
      <c r="G260" s="751">
        <v>73</v>
      </c>
      <c r="H260" s="790">
        <f t="shared" si="26"/>
        <v>0.48666666666666669</v>
      </c>
      <c r="I260" s="754">
        <f t="shared" si="24"/>
        <v>640</v>
      </c>
      <c r="J260" s="755">
        <f t="shared" si="24"/>
        <v>286</v>
      </c>
      <c r="K260" s="650">
        <f t="shared" si="27"/>
        <v>0.44687500000000002</v>
      </c>
    </row>
    <row r="261" spans="1:11" ht="24.95" customHeight="1">
      <c r="A261" s="796" t="s">
        <v>2815</v>
      </c>
      <c r="B261" s="797" t="s">
        <v>2816</v>
      </c>
      <c r="C261" s="751">
        <v>2</v>
      </c>
      <c r="D261" s="752">
        <v>1</v>
      </c>
      <c r="E261" s="753">
        <f t="shared" si="25"/>
        <v>0.5</v>
      </c>
      <c r="F261" s="789">
        <v>5</v>
      </c>
      <c r="G261" s="751">
        <v>1</v>
      </c>
      <c r="H261" s="790">
        <f t="shared" si="26"/>
        <v>0.2</v>
      </c>
      <c r="I261" s="754">
        <f t="shared" si="24"/>
        <v>7</v>
      </c>
      <c r="J261" s="755">
        <f t="shared" si="24"/>
        <v>2</v>
      </c>
      <c r="K261" s="650">
        <f t="shared" si="27"/>
        <v>0.2857142857142857</v>
      </c>
    </row>
    <row r="262" spans="1:11" ht="24.95" customHeight="1">
      <c r="A262" s="750" t="s">
        <v>2817</v>
      </c>
      <c r="B262" s="452" t="s">
        <v>2818</v>
      </c>
      <c r="C262" s="751"/>
      <c r="D262" s="752"/>
      <c r="E262" s="753" t="e">
        <f t="shared" si="25"/>
        <v>#DIV/0!</v>
      </c>
      <c r="F262" s="789"/>
      <c r="G262" s="751"/>
      <c r="H262" s="790" t="e">
        <f t="shared" si="26"/>
        <v>#DIV/0!</v>
      </c>
      <c r="I262" s="754">
        <f t="shared" si="24"/>
        <v>0</v>
      </c>
      <c r="J262" s="755">
        <f t="shared" si="24"/>
        <v>0</v>
      </c>
      <c r="K262" s="650" t="e">
        <f t="shared" si="27"/>
        <v>#DIV/0!</v>
      </c>
    </row>
    <row r="263" spans="1:11" ht="24.95" customHeight="1">
      <c r="A263" s="750" t="s">
        <v>2819</v>
      </c>
      <c r="B263" s="452" t="s">
        <v>2820</v>
      </c>
      <c r="C263" s="751"/>
      <c r="D263" s="752"/>
      <c r="E263" s="753" t="e">
        <f t="shared" si="25"/>
        <v>#DIV/0!</v>
      </c>
      <c r="F263" s="789">
        <v>2</v>
      </c>
      <c r="G263" s="751">
        <v>1</v>
      </c>
      <c r="H263" s="790">
        <f t="shared" si="26"/>
        <v>0.5</v>
      </c>
      <c r="I263" s="754">
        <f t="shared" si="24"/>
        <v>2</v>
      </c>
      <c r="J263" s="755">
        <f t="shared" si="24"/>
        <v>1</v>
      </c>
      <c r="K263" s="650">
        <f t="shared" si="27"/>
        <v>0.5</v>
      </c>
    </row>
    <row r="264" spans="1:11" ht="24.95" customHeight="1">
      <c r="A264" s="730" t="s">
        <v>2821</v>
      </c>
      <c r="B264" s="731" t="s">
        <v>2822</v>
      </c>
      <c r="C264" s="751"/>
      <c r="D264" s="752">
        <v>1</v>
      </c>
      <c r="E264" s="753" t="e">
        <f t="shared" si="25"/>
        <v>#DIV/0!</v>
      </c>
      <c r="F264" s="789">
        <v>30</v>
      </c>
      <c r="G264" s="751">
        <v>5</v>
      </c>
      <c r="H264" s="790">
        <f t="shared" si="26"/>
        <v>0.16666666666666666</v>
      </c>
      <c r="I264" s="754">
        <f t="shared" si="24"/>
        <v>30</v>
      </c>
      <c r="J264" s="755">
        <f t="shared" si="24"/>
        <v>6</v>
      </c>
      <c r="K264" s="650">
        <f t="shared" si="27"/>
        <v>0.2</v>
      </c>
    </row>
    <row r="265" spans="1:11" ht="24.95" customHeight="1">
      <c r="A265" s="750" t="s">
        <v>2823</v>
      </c>
      <c r="B265" s="452" t="s">
        <v>2824</v>
      </c>
      <c r="C265" s="751"/>
      <c r="D265" s="752"/>
      <c r="E265" s="753" t="e">
        <f t="shared" si="25"/>
        <v>#DIV/0!</v>
      </c>
      <c r="F265" s="789"/>
      <c r="G265" s="751">
        <v>1</v>
      </c>
      <c r="H265" s="790" t="e">
        <f t="shared" si="26"/>
        <v>#DIV/0!</v>
      </c>
      <c r="I265" s="754">
        <f t="shared" si="24"/>
        <v>0</v>
      </c>
      <c r="J265" s="755">
        <f t="shared" si="24"/>
        <v>1</v>
      </c>
      <c r="K265" s="650" t="e">
        <f t="shared" si="27"/>
        <v>#DIV/0!</v>
      </c>
    </row>
    <row r="266" spans="1:11" ht="24.95" customHeight="1">
      <c r="A266" s="750" t="s">
        <v>2825</v>
      </c>
      <c r="B266" s="452" t="s">
        <v>2826</v>
      </c>
      <c r="C266" s="751"/>
      <c r="D266" s="752"/>
      <c r="E266" s="753" t="e">
        <f t="shared" si="25"/>
        <v>#DIV/0!</v>
      </c>
      <c r="F266" s="789">
        <v>2</v>
      </c>
      <c r="G266" s="751"/>
      <c r="H266" s="790">
        <f t="shared" si="26"/>
        <v>0</v>
      </c>
      <c r="I266" s="754">
        <f t="shared" si="24"/>
        <v>2</v>
      </c>
      <c r="J266" s="755">
        <f t="shared" si="24"/>
        <v>0</v>
      </c>
      <c r="K266" s="650">
        <f t="shared" si="27"/>
        <v>0</v>
      </c>
    </row>
    <row r="267" spans="1:11" ht="24.95" customHeight="1">
      <c r="A267" s="750" t="s">
        <v>2827</v>
      </c>
      <c r="B267" s="452" t="s">
        <v>2828</v>
      </c>
      <c r="C267" s="751"/>
      <c r="D267" s="752"/>
      <c r="E267" s="753" t="e">
        <f t="shared" si="25"/>
        <v>#DIV/0!</v>
      </c>
      <c r="F267" s="789">
        <v>2</v>
      </c>
      <c r="G267" s="751">
        <v>1</v>
      </c>
      <c r="H267" s="790">
        <f t="shared" si="26"/>
        <v>0.5</v>
      </c>
      <c r="I267" s="754">
        <f t="shared" si="24"/>
        <v>2</v>
      </c>
      <c r="J267" s="755">
        <f t="shared" si="24"/>
        <v>1</v>
      </c>
      <c r="K267" s="650">
        <f t="shared" si="27"/>
        <v>0.5</v>
      </c>
    </row>
    <row r="268" spans="1:11" ht="24.95" customHeight="1">
      <c r="A268" s="730" t="s">
        <v>2829</v>
      </c>
      <c r="B268" s="757" t="s">
        <v>2830</v>
      </c>
      <c r="C268" s="751">
        <v>25</v>
      </c>
      <c r="D268" s="752">
        <v>13</v>
      </c>
      <c r="E268" s="753">
        <f t="shared" si="25"/>
        <v>0.52</v>
      </c>
      <c r="F268" s="789">
        <v>2100</v>
      </c>
      <c r="G268" s="751">
        <v>894</v>
      </c>
      <c r="H268" s="790">
        <f t="shared" si="26"/>
        <v>0.42571428571428571</v>
      </c>
      <c r="I268" s="754">
        <f t="shared" si="24"/>
        <v>2125</v>
      </c>
      <c r="J268" s="755">
        <f t="shared" si="24"/>
        <v>907</v>
      </c>
      <c r="K268" s="650">
        <f t="shared" si="27"/>
        <v>0.42682352941176471</v>
      </c>
    </row>
    <row r="269" spans="1:11" ht="24.95" customHeight="1">
      <c r="A269" s="787" t="s">
        <v>2831</v>
      </c>
      <c r="B269" s="760" t="s">
        <v>2832</v>
      </c>
      <c r="C269" s="751">
        <v>1</v>
      </c>
      <c r="D269" s="752">
        <v>1</v>
      </c>
      <c r="E269" s="753">
        <f t="shared" si="25"/>
        <v>1</v>
      </c>
      <c r="F269" s="789">
        <v>2</v>
      </c>
      <c r="G269" s="751">
        <v>4</v>
      </c>
      <c r="H269" s="790">
        <f t="shared" si="26"/>
        <v>2</v>
      </c>
      <c r="I269" s="754">
        <f t="shared" si="24"/>
        <v>3</v>
      </c>
      <c r="J269" s="755">
        <f t="shared" si="24"/>
        <v>5</v>
      </c>
      <c r="K269" s="650">
        <f t="shared" si="27"/>
        <v>1.6666666666666667</v>
      </c>
    </row>
    <row r="270" spans="1:11" ht="24.95" customHeight="1">
      <c r="A270" s="750" t="s">
        <v>2833</v>
      </c>
      <c r="B270" s="452" t="s">
        <v>2834</v>
      </c>
      <c r="C270" s="751">
        <v>2</v>
      </c>
      <c r="D270" s="752"/>
      <c r="E270" s="753">
        <f t="shared" si="25"/>
        <v>0</v>
      </c>
      <c r="F270" s="789">
        <v>15</v>
      </c>
      <c r="G270" s="751">
        <v>14</v>
      </c>
      <c r="H270" s="790">
        <f t="shared" si="26"/>
        <v>0.93333333333333335</v>
      </c>
      <c r="I270" s="754">
        <f t="shared" si="24"/>
        <v>17</v>
      </c>
      <c r="J270" s="755">
        <f t="shared" si="24"/>
        <v>14</v>
      </c>
      <c r="K270" s="650">
        <f t="shared" si="27"/>
        <v>0.82352941176470584</v>
      </c>
    </row>
    <row r="271" spans="1:11" ht="24.95" customHeight="1">
      <c r="A271" s="750" t="s">
        <v>2835</v>
      </c>
      <c r="B271" s="452" t="s">
        <v>2836</v>
      </c>
      <c r="C271" s="751"/>
      <c r="D271" s="752"/>
      <c r="E271" s="753" t="e">
        <f t="shared" si="25"/>
        <v>#DIV/0!</v>
      </c>
      <c r="F271" s="789">
        <v>1</v>
      </c>
      <c r="G271" s="751"/>
      <c r="H271" s="790">
        <f t="shared" si="26"/>
        <v>0</v>
      </c>
      <c r="I271" s="754">
        <f t="shared" si="24"/>
        <v>1</v>
      </c>
      <c r="J271" s="755">
        <f t="shared" si="24"/>
        <v>0</v>
      </c>
      <c r="K271" s="650">
        <f t="shared" si="27"/>
        <v>0</v>
      </c>
    </row>
    <row r="272" spans="1:11" ht="24.95" customHeight="1">
      <c r="A272" s="750" t="s">
        <v>2837</v>
      </c>
      <c r="B272" s="452" t="s">
        <v>2838</v>
      </c>
      <c r="C272" s="751"/>
      <c r="D272" s="752"/>
      <c r="E272" s="753" t="e">
        <f t="shared" si="25"/>
        <v>#DIV/0!</v>
      </c>
      <c r="F272" s="789">
        <v>10</v>
      </c>
      <c r="G272" s="751">
        <v>1</v>
      </c>
      <c r="H272" s="790">
        <f t="shared" si="26"/>
        <v>0.1</v>
      </c>
      <c r="I272" s="754">
        <f t="shared" ref="I272:J303" si="28">+C272+F272</f>
        <v>10</v>
      </c>
      <c r="J272" s="755">
        <f t="shared" si="28"/>
        <v>1</v>
      </c>
      <c r="K272" s="650">
        <f t="shared" si="27"/>
        <v>0.1</v>
      </c>
    </row>
    <row r="273" spans="1:11" ht="24.95" customHeight="1">
      <c r="A273" s="750" t="s">
        <v>2839</v>
      </c>
      <c r="B273" s="452" t="s">
        <v>2840</v>
      </c>
      <c r="C273" s="751"/>
      <c r="D273" s="752"/>
      <c r="E273" s="753" t="e">
        <f t="shared" si="25"/>
        <v>#DIV/0!</v>
      </c>
      <c r="F273" s="789">
        <v>1</v>
      </c>
      <c r="G273" s="751">
        <v>1</v>
      </c>
      <c r="H273" s="790">
        <f t="shared" si="26"/>
        <v>1</v>
      </c>
      <c r="I273" s="754">
        <f t="shared" si="28"/>
        <v>1</v>
      </c>
      <c r="J273" s="755">
        <f t="shared" si="28"/>
        <v>1</v>
      </c>
      <c r="K273" s="650">
        <f t="shared" si="27"/>
        <v>1</v>
      </c>
    </row>
    <row r="274" spans="1:11" ht="24.95" customHeight="1">
      <c r="A274" s="750" t="s">
        <v>2841</v>
      </c>
      <c r="B274" s="452" t="s">
        <v>2842</v>
      </c>
      <c r="C274" s="751">
        <v>6</v>
      </c>
      <c r="D274" s="752">
        <v>1</v>
      </c>
      <c r="E274" s="753">
        <f t="shared" si="25"/>
        <v>0.16666666666666666</v>
      </c>
      <c r="F274" s="789">
        <v>10</v>
      </c>
      <c r="G274" s="751">
        <v>2</v>
      </c>
      <c r="H274" s="790">
        <f t="shared" si="26"/>
        <v>0.2</v>
      </c>
      <c r="I274" s="754">
        <f t="shared" si="28"/>
        <v>16</v>
      </c>
      <c r="J274" s="755">
        <f t="shared" si="28"/>
        <v>3</v>
      </c>
      <c r="K274" s="650">
        <f t="shared" si="27"/>
        <v>0.1875</v>
      </c>
    </row>
    <row r="275" spans="1:11" ht="24.95" customHeight="1">
      <c r="A275" s="750" t="s">
        <v>2843</v>
      </c>
      <c r="B275" s="452" t="s">
        <v>2844</v>
      </c>
      <c r="C275" s="751"/>
      <c r="D275" s="752"/>
      <c r="E275" s="753" t="e">
        <f t="shared" si="25"/>
        <v>#DIV/0!</v>
      </c>
      <c r="F275" s="789">
        <v>1</v>
      </c>
      <c r="G275" s="751"/>
      <c r="H275" s="790">
        <f t="shared" si="26"/>
        <v>0</v>
      </c>
      <c r="I275" s="754">
        <f t="shared" si="28"/>
        <v>1</v>
      </c>
      <c r="J275" s="755">
        <f t="shared" si="28"/>
        <v>0</v>
      </c>
      <c r="K275" s="650">
        <f t="shared" si="27"/>
        <v>0</v>
      </c>
    </row>
    <row r="276" spans="1:11" ht="24.95" customHeight="1">
      <c r="A276" s="787" t="s">
        <v>155</v>
      </c>
      <c r="B276" s="760" t="s">
        <v>2845</v>
      </c>
      <c r="C276" s="751"/>
      <c r="D276" s="752"/>
      <c r="E276" s="753" t="e">
        <f t="shared" si="25"/>
        <v>#DIV/0!</v>
      </c>
      <c r="F276" s="789">
        <v>65</v>
      </c>
      <c r="G276" s="751">
        <v>38</v>
      </c>
      <c r="H276" s="790">
        <f t="shared" si="26"/>
        <v>0.58461538461538465</v>
      </c>
      <c r="I276" s="754">
        <f t="shared" si="28"/>
        <v>65</v>
      </c>
      <c r="J276" s="755">
        <f t="shared" si="28"/>
        <v>38</v>
      </c>
      <c r="K276" s="650">
        <f t="shared" si="27"/>
        <v>0.58461538461538465</v>
      </c>
    </row>
    <row r="277" spans="1:11" ht="24.95" customHeight="1">
      <c r="A277" s="787" t="s">
        <v>2846</v>
      </c>
      <c r="B277" s="760" t="s">
        <v>2847</v>
      </c>
      <c r="C277" s="751"/>
      <c r="D277" s="752"/>
      <c r="E277" s="753" t="e">
        <f t="shared" si="25"/>
        <v>#DIV/0!</v>
      </c>
      <c r="F277" s="789">
        <v>26</v>
      </c>
      <c r="G277" s="751">
        <v>19</v>
      </c>
      <c r="H277" s="790">
        <f t="shared" si="26"/>
        <v>0.73076923076923073</v>
      </c>
      <c r="I277" s="754">
        <f t="shared" si="28"/>
        <v>26</v>
      </c>
      <c r="J277" s="755">
        <f t="shared" si="28"/>
        <v>19</v>
      </c>
      <c r="K277" s="650">
        <f t="shared" si="27"/>
        <v>0.73076923076923073</v>
      </c>
    </row>
    <row r="278" spans="1:11" ht="24.95" customHeight="1">
      <c r="A278" s="762" t="s">
        <v>2848</v>
      </c>
      <c r="B278" s="452" t="s">
        <v>2849</v>
      </c>
      <c r="C278" s="751"/>
      <c r="D278" s="752"/>
      <c r="E278" s="753" t="e">
        <f t="shared" si="25"/>
        <v>#DIV/0!</v>
      </c>
      <c r="F278" s="789">
        <v>5</v>
      </c>
      <c r="G278" s="751"/>
      <c r="H278" s="790">
        <f t="shared" si="26"/>
        <v>0</v>
      </c>
      <c r="I278" s="754">
        <f t="shared" si="28"/>
        <v>5</v>
      </c>
      <c r="J278" s="755">
        <f t="shared" si="28"/>
        <v>0</v>
      </c>
      <c r="K278" s="650">
        <f t="shared" si="27"/>
        <v>0</v>
      </c>
    </row>
    <row r="279" spans="1:11" ht="24.95" customHeight="1">
      <c r="A279" s="762" t="s">
        <v>2850</v>
      </c>
      <c r="B279" s="452" t="s">
        <v>2851</v>
      </c>
      <c r="C279" s="751"/>
      <c r="D279" s="752"/>
      <c r="E279" s="753" t="e">
        <f t="shared" si="25"/>
        <v>#DIV/0!</v>
      </c>
      <c r="F279" s="789">
        <v>330</v>
      </c>
      <c r="G279" s="751">
        <v>208</v>
      </c>
      <c r="H279" s="790">
        <f t="shared" si="26"/>
        <v>0.63030303030303025</v>
      </c>
      <c r="I279" s="754">
        <f t="shared" si="28"/>
        <v>330</v>
      </c>
      <c r="J279" s="755">
        <f t="shared" si="28"/>
        <v>208</v>
      </c>
      <c r="K279" s="650">
        <f t="shared" si="27"/>
        <v>0.63030303030303025</v>
      </c>
    </row>
    <row r="280" spans="1:11" ht="24.95" customHeight="1">
      <c r="A280" s="798" t="s">
        <v>2852</v>
      </c>
      <c r="B280" s="760" t="s">
        <v>2853</v>
      </c>
      <c r="C280" s="751"/>
      <c r="D280" s="752"/>
      <c r="E280" s="753" t="e">
        <f t="shared" si="25"/>
        <v>#DIV/0!</v>
      </c>
      <c r="F280" s="789">
        <v>3</v>
      </c>
      <c r="G280" s="751"/>
      <c r="H280" s="790">
        <f t="shared" si="26"/>
        <v>0</v>
      </c>
      <c r="I280" s="754">
        <f t="shared" si="28"/>
        <v>3</v>
      </c>
      <c r="J280" s="755">
        <f t="shared" si="28"/>
        <v>0</v>
      </c>
      <c r="K280" s="650">
        <f t="shared" si="27"/>
        <v>0</v>
      </c>
    </row>
    <row r="281" spans="1:11" ht="24.95" customHeight="1">
      <c r="A281" s="799" t="s">
        <v>2854</v>
      </c>
      <c r="B281" s="760" t="s">
        <v>2855</v>
      </c>
      <c r="C281" s="751"/>
      <c r="D281" s="752"/>
      <c r="E281" s="753" t="e">
        <f t="shared" si="25"/>
        <v>#DIV/0!</v>
      </c>
      <c r="F281" s="789">
        <v>1</v>
      </c>
      <c r="G281" s="751">
        <v>1</v>
      </c>
      <c r="H281" s="790">
        <f t="shared" si="26"/>
        <v>1</v>
      </c>
      <c r="I281" s="754">
        <f t="shared" si="28"/>
        <v>1</v>
      </c>
      <c r="J281" s="755">
        <f t="shared" si="28"/>
        <v>1</v>
      </c>
      <c r="K281" s="650">
        <f t="shared" si="27"/>
        <v>1</v>
      </c>
    </row>
    <row r="282" spans="1:11" ht="24.95" customHeight="1">
      <c r="A282" s="762" t="s">
        <v>2856</v>
      </c>
      <c r="B282" s="452" t="s">
        <v>2857</v>
      </c>
      <c r="C282" s="751"/>
      <c r="D282" s="752"/>
      <c r="E282" s="753" t="e">
        <f t="shared" si="25"/>
        <v>#DIV/0!</v>
      </c>
      <c r="F282" s="789">
        <v>0</v>
      </c>
      <c r="G282" s="751"/>
      <c r="H282" s="790" t="e">
        <f t="shared" si="26"/>
        <v>#DIV/0!</v>
      </c>
      <c r="I282" s="754">
        <f t="shared" si="28"/>
        <v>0</v>
      </c>
      <c r="J282" s="755">
        <f t="shared" si="28"/>
        <v>0</v>
      </c>
      <c r="K282" s="650" t="e">
        <f t="shared" si="27"/>
        <v>#DIV/0!</v>
      </c>
    </row>
    <row r="283" spans="1:11" ht="24.95" customHeight="1">
      <c r="A283" s="759" t="s">
        <v>2858</v>
      </c>
      <c r="B283" s="760" t="s">
        <v>2859</v>
      </c>
      <c r="C283" s="751"/>
      <c r="D283" s="752"/>
      <c r="E283" s="753" t="e">
        <f t="shared" si="25"/>
        <v>#DIV/0!</v>
      </c>
      <c r="F283" s="789">
        <v>220</v>
      </c>
      <c r="G283" s="751">
        <v>59</v>
      </c>
      <c r="H283" s="790">
        <f t="shared" si="26"/>
        <v>0.26818181818181819</v>
      </c>
      <c r="I283" s="754">
        <f t="shared" si="28"/>
        <v>220</v>
      </c>
      <c r="J283" s="755">
        <f t="shared" si="28"/>
        <v>59</v>
      </c>
      <c r="K283" s="650">
        <f t="shared" si="27"/>
        <v>0.26818181818181819</v>
      </c>
    </row>
    <row r="284" spans="1:11" ht="24.95" customHeight="1">
      <c r="A284" s="456" t="s">
        <v>2429</v>
      </c>
      <c r="B284" s="452" t="s">
        <v>2430</v>
      </c>
      <c r="C284" s="751">
        <v>3</v>
      </c>
      <c r="D284" s="752">
        <v>1</v>
      </c>
      <c r="E284" s="753">
        <f t="shared" si="25"/>
        <v>0.33333333333333331</v>
      </c>
      <c r="F284" s="789">
        <v>340</v>
      </c>
      <c r="G284" s="751">
        <v>155</v>
      </c>
      <c r="H284" s="790">
        <f t="shared" si="26"/>
        <v>0.45588235294117646</v>
      </c>
      <c r="I284" s="754">
        <f t="shared" si="28"/>
        <v>343</v>
      </c>
      <c r="J284" s="755">
        <f t="shared" si="28"/>
        <v>156</v>
      </c>
      <c r="K284" s="650">
        <f t="shared" si="27"/>
        <v>0.45481049562682213</v>
      </c>
    </row>
    <row r="285" spans="1:11" ht="24.95" customHeight="1">
      <c r="A285" s="456" t="s">
        <v>2860</v>
      </c>
      <c r="B285" s="452" t="s">
        <v>2861</v>
      </c>
      <c r="C285" s="751">
        <v>1</v>
      </c>
      <c r="D285" s="752"/>
      <c r="E285" s="753">
        <f t="shared" si="25"/>
        <v>0</v>
      </c>
      <c r="F285" s="789"/>
      <c r="G285" s="751"/>
      <c r="H285" s="790" t="e">
        <f t="shared" si="26"/>
        <v>#DIV/0!</v>
      </c>
      <c r="I285" s="754">
        <f t="shared" si="28"/>
        <v>1</v>
      </c>
      <c r="J285" s="755">
        <f t="shared" si="28"/>
        <v>0</v>
      </c>
      <c r="K285" s="650">
        <f t="shared" si="27"/>
        <v>0</v>
      </c>
    </row>
    <row r="286" spans="1:11" ht="24.95" customHeight="1">
      <c r="A286" s="800" t="s">
        <v>2862</v>
      </c>
      <c r="B286" s="452" t="s">
        <v>2863</v>
      </c>
      <c r="C286" s="751"/>
      <c r="D286" s="752"/>
      <c r="E286" s="753" t="e">
        <f t="shared" si="25"/>
        <v>#DIV/0!</v>
      </c>
      <c r="F286" s="789"/>
      <c r="G286" s="751"/>
      <c r="H286" s="790" t="e">
        <f t="shared" si="26"/>
        <v>#DIV/0!</v>
      </c>
      <c r="I286" s="754">
        <f t="shared" si="28"/>
        <v>0</v>
      </c>
      <c r="J286" s="755">
        <f t="shared" si="28"/>
        <v>0</v>
      </c>
      <c r="K286" s="650" t="e">
        <f t="shared" si="27"/>
        <v>#DIV/0!</v>
      </c>
    </row>
    <row r="287" spans="1:11" ht="24.95" customHeight="1">
      <c r="A287" s="800" t="s">
        <v>2189</v>
      </c>
      <c r="B287" s="452" t="s">
        <v>2190</v>
      </c>
      <c r="C287" s="751">
        <v>1</v>
      </c>
      <c r="D287" s="752"/>
      <c r="E287" s="753">
        <f t="shared" si="25"/>
        <v>0</v>
      </c>
      <c r="F287" s="789"/>
      <c r="G287" s="751"/>
      <c r="H287" s="790" t="e">
        <f t="shared" si="26"/>
        <v>#DIV/0!</v>
      </c>
      <c r="I287" s="754">
        <f t="shared" si="28"/>
        <v>1</v>
      </c>
      <c r="J287" s="755">
        <f t="shared" si="28"/>
        <v>0</v>
      </c>
      <c r="K287" s="650">
        <f t="shared" si="27"/>
        <v>0</v>
      </c>
    </row>
    <row r="288" spans="1:11" ht="24.95" customHeight="1">
      <c r="A288" s="801" t="s">
        <v>2864</v>
      </c>
      <c r="B288" s="802" t="s">
        <v>2865</v>
      </c>
      <c r="C288" s="751">
        <v>255</v>
      </c>
      <c r="D288" s="752">
        <v>151</v>
      </c>
      <c r="E288" s="753">
        <f t="shared" si="25"/>
        <v>0.59215686274509804</v>
      </c>
      <c r="F288" s="789">
        <v>105</v>
      </c>
      <c r="G288" s="751">
        <v>31</v>
      </c>
      <c r="H288" s="790">
        <f t="shared" si="26"/>
        <v>0.29523809523809524</v>
      </c>
      <c r="I288" s="754">
        <f t="shared" si="28"/>
        <v>360</v>
      </c>
      <c r="J288" s="755">
        <f t="shared" si="28"/>
        <v>182</v>
      </c>
      <c r="K288" s="650">
        <f t="shared" si="27"/>
        <v>0.50555555555555554</v>
      </c>
    </row>
    <row r="289" spans="1:11" ht="24.95" customHeight="1">
      <c r="A289" s="798" t="s">
        <v>2866</v>
      </c>
      <c r="B289" s="760" t="s">
        <v>2867</v>
      </c>
      <c r="C289" s="751">
        <v>100</v>
      </c>
      <c r="D289" s="752">
        <v>85</v>
      </c>
      <c r="E289" s="753">
        <f t="shared" si="25"/>
        <v>0.85</v>
      </c>
      <c r="F289" s="789">
        <v>180</v>
      </c>
      <c r="G289" s="751">
        <v>32</v>
      </c>
      <c r="H289" s="790">
        <f t="shared" si="26"/>
        <v>0.17777777777777778</v>
      </c>
      <c r="I289" s="754">
        <f t="shared" si="28"/>
        <v>280</v>
      </c>
      <c r="J289" s="755">
        <f t="shared" si="28"/>
        <v>117</v>
      </c>
      <c r="K289" s="650">
        <f t="shared" si="27"/>
        <v>0.41785714285714287</v>
      </c>
    </row>
    <row r="290" spans="1:11" ht="24.95" customHeight="1">
      <c r="A290" s="798" t="s">
        <v>2868</v>
      </c>
      <c r="B290" s="760" t="s">
        <v>2869</v>
      </c>
      <c r="C290" s="751">
        <v>200</v>
      </c>
      <c r="D290" s="752">
        <v>123</v>
      </c>
      <c r="E290" s="753">
        <f t="shared" si="25"/>
        <v>0.61499999999999999</v>
      </c>
      <c r="F290" s="789">
        <v>80</v>
      </c>
      <c r="G290" s="751">
        <v>49</v>
      </c>
      <c r="H290" s="790">
        <f t="shared" si="26"/>
        <v>0.61250000000000004</v>
      </c>
      <c r="I290" s="754">
        <f t="shared" si="28"/>
        <v>280</v>
      </c>
      <c r="J290" s="755">
        <f t="shared" si="28"/>
        <v>172</v>
      </c>
      <c r="K290" s="650">
        <f t="shared" si="27"/>
        <v>0.61428571428571432</v>
      </c>
    </row>
    <row r="291" spans="1:11" ht="24.95" customHeight="1">
      <c r="A291" s="801" t="s">
        <v>2870</v>
      </c>
      <c r="B291" s="802" t="s">
        <v>2192</v>
      </c>
      <c r="C291" s="751">
        <v>1090</v>
      </c>
      <c r="D291" s="752">
        <v>619</v>
      </c>
      <c r="E291" s="753">
        <f t="shared" si="25"/>
        <v>0.56788990825688068</v>
      </c>
      <c r="F291" s="789">
        <v>400</v>
      </c>
      <c r="G291" s="751">
        <v>212</v>
      </c>
      <c r="H291" s="790">
        <f t="shared" si="26"/>
        <v>0.53</v>
      </c>
      <c r="I291" s="754">
        <f t="shared" si="28"/>
        <v>1490</v>
      </c>
      <c r="J291" s="755">
        <f t="shared" si="28"/>
        <v>831</v>
      </c>
      <c r="K291" s="650">
        <f t="shared" si="27"/>
        <v>0.55771812080536909</v>
      </c>
    </row>
    <row r="292" spans="1:11" ht="24.95" customHeight="1">
      <c r="A292" s="803" t="s">
        <v>2435</v>
      </c>
      <c r="B292" s="452" t="s">
        <v>2436</v>
      </c>
      <c r="C292" s="751">
        <v>1</v>
      </c>
      <c r="D292" s="752"/>
      <c r="E292" s="753">
        <f t="shared" si="25"/>
        <v>0</v>
      </c>
      <c r="F292" s="789"/>
      <c r="G292" s="751"/>
      <c r="H292" s="790" t="e">
        <f t="shared" si="26"/>
        <v>#DIV/0!</v>
      </c>
      <c r="I292" s="754">
        <f t="shared" si="28"/>
        <v>1</v>
      </c>
      <c r="J292" s="755">
        <f t="shared" si="28"/>
        <v>0</v>
      </c>
      <c r="K292" s="650">
        <f t="shared" si="27"/>
        <v>0</v>
      </c>
    </row>
    <row r="293" spans="1:11" ht="24.95" customHeight="1">
      <c r="A293" s="750" t="s">
        <v>2871</v>
      </c>
      <c r="B293" s="452" t="s">
        <v>2872</v>
      </c>
      <c r="C293" s="804"/>
      <c r="D293" s="804"/>
      <c r="E293" s="753" t="e">
        <f t="shared" si="25"/>
        <v>#DIV/0!</v>
      </c>
      <c r="F293" s="805"/>
      <c r="G293" s="804"/>
      <c r="H293" s="790" t="e">
        <f t="shared" si="26"/>
        <v>#DIV/0!</v>
      </c>
      <c r="I293" s="754">
        <f t="shared" si="28"/>
        <v>0</v>
      </c>
      <c r="J293" s="755">
        <f t="shared" si="28"/>
        <v>0</v>
      </c>
      <c r="K293" s="650" t="e">
        <f t="shared" si="27"/>
        <v>#DIV/0!</v>
      </c>
    </row>
    <row r="294" spans="1:11" ht="24.95" customHeight="1">
      <c r="A294" s="798" t="s">
        <v>2873</v>
      </c>
      <c r="B294" s="788" t="s">
        <v>2874</v>
      </c>
      <c r="C294" s="804"/>
      <c r="D294" s="806"/>
      <c r="E294" s="753" t="e">
        <f t="shared" si="25"/>
        <v>#DIV/0!</v>
      </c>
      <c r="F294" s="807"/>
      <c r="G294" s="804"/>
      <c r="H294" s="790" t="e">
        <f t="shared" si="26"/>
        <v>#DIV/0!</v>
      </c>
      <c r="I294" s="754">
        <f t="shared" si="28"/>
        <v>0</v>
      </c>
      <c r="J294" s="755">
        <f t="shared" si="28"/>
        <v>0</v>
      </c>
      <c r="K294" s="650" t="e">
        <f t="shared" si="27"/>
        <v>#DIV/0!</v>
      </c>
    </row>
    <row r="295" spans="1:11" ht="24.95" customHeight="1">
      <c r="A295" s="808" t="s">
        <v>2439</v>
      </c>
      <c r="B295" s="760" t="s">
        <v>2440</v>
      </c>
      <c r="C295" s="751">
        <v>5</v>
      </c>
      <c r="D295" s="752">
        <v>5</v>
      </c>
      <c r="E295" s="753">
        <f t="shared" si="25"/>
        <v>1</v>
      </c>
      <c r="F295" s="789">
        <v>2160</v>
      </c>
      <c r="G295" s="751">
        <v>899</v>
      </c>
      <c r="H295" s="790">
        <f t="shared" si="26"/>
        <v>0.41620370370370369</v>
      </c>
      <c r="I295" s="754">
        <f t="shared" si="28"/>
        <v>2165</v>
      </c>
      <c r="J295" s="755">
        <f t="shared" si="28"/>
        <v>904</v>
      </c>
      <c r="K295" s="650">
        <f t="shared" si="27"/>
        <v>0.41755196304849884</v>
      </c>
    </row>
    <row r="296" spans="1:11" ht="24.95" customHeight="1">
      <c r="A296" s="808" t="s">
        <v>2875</v>
      </c>
      <c r="B296" s="760" t="s">
        <v>2876</v>
      </c>
      <c r="C296" s="751"/>
      <c r="D296" s="752"/>
      <c r="E296" s="753" t="e">
        <f t="shared" si="25"/>
        <v>#DIV/0!</v>
      </c>
      <c r="F296" s="789">
        <v>2</v>
      </c>
      <c r="G296" s="751"/>
      <c r="H296" s="790">
        <f t="shared" si="26"/>
        <v>0</v>
      </c>
      <c r="I296" s="754">
        <f t="shared" si="28"/>
        <v>2</v>
      </c>
      <c r="J296" s="755">
        <f t="shared" si="28"/>
        <v>0</v>
      </c>
      <c r="K296" s="650">
        <f t="shared" si="27"/>
        <v>0</v>
      </c>
    </row>
    <row r="297" spans="1:11" ht="24.95" customHeight="1">
      <c r="A297" s="808" t="s">
        <v>2877</v>
      </c>
      <c r="B297" s="760" t="s">
        <v>2878</v>
      </c>
      <c r="C297" s="751"/>
      <c r="D297" s="752"/>
      <c r="E297" s="753" t="e">
        <f t="shared" si="25"/>
        <v>#DIV/0!</v>
      </c>
      <c r="F297" s="789">
        <v>2</v>
      </c>
      <c r="G297" s="751"/>
      <c r="H297" s="790">
        <f t="shared" si="26"/>
        <v>0</v>
      </c>
      <c r="I297" s="754">
        <f t="shared" si="28"/>
        <v>2</v>
      </c>
      <c r="J297" s="755">
        <f t="shared" si="28"/>
        <v>0</v>
      </c>
      <c r="K297" s="650">
        <f t="shared" si="27"/>
        <v>0</v>
      </c>
    </row>
    <row r="298" spans="1:11" ht="24.95" customHeight="1">
      <c r="A298" s="808" t="s">
        <v>2879</v>
      </c>
      <c r="B298" s="760" t="s">
        <v>2880</v>
      </c>
      <c r="C298" s="751"/>
      <c r="D298" s="752"/>
      <c r="E298" s="753" t="e">
        <f t="shared" si="25"/>
        <v>#DIV/0!</v>
      </c>
      <c r="F298" s="789"/>
      <c r="G298" s="751"/>
      <c r="H298" s="790" t="e">
        <f t="shared" si="26"/>
        <v>#DIV/0!</v>
      </c>
      <c r="I298" s="754">
        <f t="shared" si="28"/>
        <v>0</v>
      </c>
      <c r="J298" s="755">
        <f t="shared" si="28"/>
        <v>0</v>
      </c>
      <c r="K298" s="650" t="e">
        <f t="shared" si="27"/>
        <v>#DIV/0!</v>
      </c>
    </row>
    <row r="299" spans="1:11" ht="24.95" customHeight="1">
      <c r="A299" s="808" t="s">
        <v>2879</v>
      </c>
      <c r="B299" s="760" t="s">
        <v>2880</v>
      </c>
      <c r="C299" s="751"/>
      <c r="D299" s="752"/>
      <c r="E299" s="753" t="e">
        <f t="shared" si="25"/>
        <v>#DIV/0!</v>
      </c>
      <c r="F299" s="789">
        <v>1</v>
      </c>
      <c r="G299" s="751"/>
      <c r="H299" s="790">
        <f t="shared" si="26"/>
        <v>0</v>
      </c>
      <c r="I299" s="754">
        <f t="shared" si="28"/>
        <v>1</v>
      </c>
      <c r="J299" s="755">
        <f t="shared" si="28"/>
        <v>0</v>
      </c>
      <c r="K299" s="650">
        <f t="shared" si="27"/>
        <v>0</v>
      </c>
    </row>
    <row r="300" spans="1:11" ht="24.95" customHeight="1">
      <c r="A300" s="808" t="s">
        <v>2757</v>
      </c>
      <c r="B300" s="760" t="s">
        <v>2881</v>
      </c>
      <c r="C300" s="751"/>
      <c r="D300" s="752"/>
      <c r="E300" s="753" t="e">
        <f t="shared" si="25"/>
        <v>#DIV/0!</v>
      </c>
      <c r="F300" s="789">
        <v>5</v>
      </c>
      <c r="G300" s="751">
        <v>1</v>
      </c>
      <c r="H300" s="790">
        <f t="shared" si="26"/>
        <v>0.2</v>
      </c>
      <c r="I300" s="754">
        <f t="shared" si="28"/>
        <v>5</v>
      </c>
      <c r="J300" s="755">
        <f t="shared" si="28"/>
        <v>1</v>
      </c>
      <c r="K300" s="650">
        <f t="shared" si="27"/>
        <v>0.2</v>
      </c>
    </row>
    <row r="301" spans="1:11" ht="24.95" customHeight="1">
      <c r="A301" s="808" t="s">
        <v>2882</v>
      </c>
      <c r="B301" s="760" t="s">
        <v>2883</v>
      </c>
      <c r="C301" s="751"/>
      <c r="D301" s="752"/>
      <c r="E301" s="753" t="e">
        <f t="shared" si="25"/>
        <v>#DIV/0!</v>
      </c>
      <c r="F301" s="789">
        <v>5</v>
      </c>
      <c r="G301" s="751"/>
      <c r="H301" s="790">
        <f t="shared" si="26"/>
        <v>0</v>
      </c>
      <c r="I301" s="754">
        <f t="shared" si="28"/>
        <v>5</v>
      </c>
      <c r="J301" s="755">
        <f t="shared" si="28"/>
        <v>0</v>
      </c>
      <c r="K301" s="650">
        <f t="shared" si="27"/>
        <v>0</v>
      </c>
    </row>
    <row r="302" spans="1:11" ht="24.95" customHeight="1">
      <c r="A302" s="750" t="s">
        <v>2884</v>
      </c>
      <c r="B302" s="452" t="s">
        <v>2885</v>
      </c>
      <c r="C302" s="751"/>
      <c r="D302" s="752"/>
      <c r="E302" s="753" t="e">
        <f t="shared" si="25"/>
        <v>#DIV/0!</v>
      </c>
      <c r="F302" s="789"/>
      <c r="G302" s="751"/>
      <c r="H302" s="790" t="e">
        <f t="shared" si="26"/>
        <v>#DIV/0!</v>
      </c>
      <c r="I302" s="754">
        <f t="shared" si="28"/>
        <v>0</v>
      </c>
      <c r="J302" s="755">
        <f t="shared" si="28"/>
        <v>0</v>
      </c>
      <c r="K302" s="650" t="e">
        <f t="shared" si="27"/>
        <v>#DIV/0!</v>
      </c>
    </row>
    <row r="303" spans="1:11" ht="24.95" customHeight="1">
      <c r="A303" s="750" t="s">
        <v>2886</v>
      </c>
      <c r="B303" s="452" t="s">
        <v>2887</v>
      </c>
      <c r="C303" s="751"/>
      <c r="D303" s="752"/>
      <c r="E303" s="753" t="e">
        <f t="shared" si="25"/>
        <v>#DIV/0!</v>
      </c>
      <c r="F303" s="789">
        <v>5</v>
      </c>
      <c r="G303" s="751"/>
      <c r="H303" s="790">
        <f t="shared" si="26"/>
        <v>0</v>
      </c>
      <c r="I303" s="754">
        <f t="shared" si="28"/>
        <v>5</v>
      </c>
      <c r="J303" s="755">
        <f t="shared" si="28"/>
        <v>0</v>
      </c>
      <c r="K303" s="650">
        <f t="shared" si="27"/>
        <v>0</v>
      </c>
    </row>
    <row r="304" spans="1:11" ht="24.95" customHeight="1">
      <c r="A304" s="762" t="s">
        <v>2888</v>
      </c>
      <c r="B304" s="452" t="s">
        <v>2889</v>
      </c>
      <c r="C304" s="751">
        <v>0</v>
      </c>
      <c r="D304" s="752"/>
      <c r="E304" s="753" t="e">
        <f t="shared" si="25"/>
        <v>#DIV/0!</v>
      </c>
      <c r="F304" s="789">
        <v>15</v>
      </c>
      <c r="G304" s="751"/>
      <c r="H304" s="790">
        <f t="shared" si="26"/>
        <v>0</v>
      </c>
      <c r="I304" s="754">
        <f t="shared" ref="I304:J335" si="29">+C304+F304</f>
        <v>15</v>
      </c>
      <c r="J304" s="755">
        <f t="shared" si="29"/>
        <v>0</v>
      </c>
      <c r="K304" s="650">
        <f t="shared" si="27"/>
        <v>0</v>
      </c>
    </row>
    <row r="305" spans="1:11" ht="24.95" customHeight="1">
      <c r="A305" s="762" t="s">
        <v>2890</v>
      </c>
      <c r="B305" s="452" t="s">
        <v>2891</v>
      </c>
      <c r="C305" s="751"/>
      <c r="D305" s="752"/>
      <c r="E305" s="753" t="e">
        <f t="shared" ref="E305:E368" si="30">+D305/C305</f>
        <v>#DIV/0!</v>
      </c>
      <c r="F305" s="789">
        <v>2</v>
      </c>
      <c r="G305" s="751"/>
      <c r="H305" s="790">
        <f t="shared" ref="H305:H368" si="31">+G305/F305</f>
        <v>0</v>
      </c>
      <c r="I305" s="754">
        <f t="shared" si="29"/>
        <v>2</v>
      </c>
      <c r="J305" s="755">
        <f t="shared" si="29"/>
        <v>0</v>
      </c>
      <c r="K305" s="650">
        <f t="shared" ref="K305:K368" si="32">+J305/I305</f>
        <v>0</v>
      </c>
    </row>
    <row r="306" spans="1:11" ht="24.95" customHeight="1">
      <c r="A306" s="762" t="s">
        <v>2892</v>
      </c>
      <c r="B306" s="452" t="s">
        <v>2893</v>
      </c>
      <c r="C306" s="751"/>
      <c r="D306" s="752"/>
      <c r="E306" s="753" t="e">
        <f t="shared" si="30"/>
        <v>#DIV/0!</v>
      </c>
      <c r="F306" s="789"/>
      <c r="G306" s="751"/>
      <c r="H306" s="790" t="e">
        <f t="shared" si="31"/>
        <v>#DIV/0!</v>
      </c>
      <c r="I306" s="754">
        <f t="shared" si="29"/>
        <v>0</v>
      </c>
      <c r="J306" s="755">
        <f t="shared" si="29"/>
        <v>0</v>
      </c>
      <c r="K306" s="650" t="e">
        <f t="shared" si="32"/>
        <v>#DIV/0!</v>
      </c>
    </row>
    <row r="307" spans="1:11" ht="24.95" customHeight="1">
      <c r="A307" s="762" t="s">
        <v>2894</v>
      </c>
      <c r="B307" s="757" t="s">
        <v>2895</v>
      </c>
      <c r="C307" s="751"/>
      <c r="D307" s="752"/>
      <c r="E307" s="753" t="e">
        <f t="shared" si="30"/>
        <v>#DIV/0!</v>
      </c>
      <c r="F307" s="789"/>
      <c r="G307" s="751"/>
      <c r="H307" s="790" t="e">
        <f t="shared" si="31"/>
        <v>#DIV/0!</v>
      </c>
      <c r="I307" s="754">
        <f t="shared" si="29"/>
        <v>0</v>
      </c>
      <c r="J307" s="755">
        <f t="shared" si="29"/>
        <v>0</v>
      </c>
      <c r="K307" s="650" t="e">
        <f t="shared" si="32"/>
        <v>#DIV/0!</v>
      </c>
    </row>
    <row r="308" spans="1:11" ht="24.95" customHeight="1">
      <c r="A308" s="762" t="s">
        <v>2896</v>
      </c>
      <c r="B308" s="452" t="s">
        <v>2897</v>
      </c>
      <c r="C308" s="751"/>
      <c r="D308" s="752"/>
      <c r="E308" s="753" t="e">
        <f t="shared" si="30"/>
        <v>#DIV/0!</v>
      </c>
      <c r="F308" s="789"/>
      <c r="G308" s="751"/>
      <c r="H308" s="790" t="e">
        <f t="shared" si="31"/>
        <v>#DIV/0!</v>
      </c>
      <c r="I308" s="754">
        <f t="shared" si="29"/>
        <v>0</v>
      </c>
      <c r="J308" s="755">
        <f t="shared" si="29"/>
        <v>0</v>
      </c>
      <c r="K308" s="650" t="e">
        <f t="shared" si="32"/>
        <v>#DIV/0!</v>
      </c>
    </row>
    <row r="309" spans="1:11" ht="24.95" customHeight="1">
      <c r="A309" s="750" t="s">
        <v>2898</v>
      </c>
      <c r="B309" s="452" t="s">
        <v>2899</v>
      </c>
      <c r="C309" s="751"/>
      <c r="D309" s="752"/>
      <c r="E309" s="753" t="e">
        <f t="shared" si="30"/>
        <v>#DIV/0!</v>
      </c>
      <c r="F309" s="789"/>
      <c r="G309" s="751"/>
      <c r="H309" s="790" t="e">
        <f t="shared" si="31"/>
        <v>#DIV/0!</v>
      </c>
      <c r="I309" s="754">
        <f t="shared" si="29"/>
        <v>0</v>
      </c>
      <c r="J309" s="755">
        <f t="shared" si="29"/>
        <v>0</v>
      </c>
      <c r="K309" s="650" t="e">
        <f t="shared" si="32"/>
        <v>#DIV/0!</v>
      </c>
    </row>
    <row r="310" spans="1:11" ht="24.95" customHeight="1">
      <c r="A310" s="750" t="s">
        <v>2900</v>
      </c>
      <c r="B310" s="452" t="s">
        <v>2901</v>
      </c>
      <c r="C310" s="751">
        <v>1</v>
      </c>
      <c r="D310" s="752"/>
      <c r="E310" s="753">
        <f t="shared" si="30"/>
        <v>0</v>
      </c>
      <c r="F310" s="789"/>
      <c r="G310" s="751"/>
      <c r="H310" s="790" t="e">
        <f t="shared" si="31"/>
        <v>#DIV/0!</v>
      </c>
      <c r="I310" s="754">
        <f t="shared" si="29"/>
        <v>1</v>
      </c>
      <c r="J310" s="755">
        <f t="shared" si="29"/>
        <v>0</v>
      </c>
      <c r="K310" s="650">
        <f t="shared" si="32"/>
        <v>0</v>
      </c>
    </row>
    <row r="311" spans="1:11" ht="24.95" customHeight="1">
      <c r="A311" s="787" t="s">
        <v>2449</v>
      </c>
      <c r="B311" s="760" t="s">
        <v>2450</v>
      </c>
      <c r="C311" s="751"/>
      <c r="D311" s="752"/>
      <c r="E311" s="753" t="e">
        <f t="shared" si="30"/>
        <v>#DIV/0!</v>
      </c>
      <c r="F311" s="789">
        <v>5</v>
      </c>
      <c r="G311" s="751"/>
      <c r="H311" s="790">
        <f t="shared" si="31"/>
        <v>0</v>
      </c>
      <c r="I311" s="754">
        <f t="shared" si="29"/>
        <v>5</v>
      </c>
      <c r="J311" s="755">
        <f t="shared" si="29"/>
        <v>0</v>
      </c>
      <c r="K311" s="650">
        <f t="shared" si="32"/>
        <v>0</v>
      </c>
    </row>
    <row r="312" spans="1:11" ht="24.95" customHeight="1">
      <c r="A312" s="787" t="s">
        <v>2902</v>
      </c>
      <c r="B312" s="760" t="s">
        <v>2903</v>
      </c>
      <c r="C312" s="751"/>
      <c r="D312" s="752"/>
      <c r="E312" s="753" t="e">
        <f t="shared" si="30"/>
        <v>#DIV/0!</v>
      </c>
      <c r="F312" s="789">
        <v>10</v>
      </c>
      <c r="G312" s="751"/>
      <c r="H312" s="790">
        <f t="shared" si="31"/>
        <v>0</v>
      </c>
      <c r="I312" s="754">
        <f t="shared" si="29"/>
        <v>10</v>
      </c>
      <c r="J312" s="755">
        <f t="shared" si="29"/>
        <v>0</v>
      </c>
      <c r="K312" s="650">
        <f t="shared" si="32"/>
        <v>0</v>
      </c>
    </row>
    <row r="313" spans="1:11" ht="24.95" customHeight="1">
      <c r="A313" s="750" t="s">
        <v>2455</v>
      </c>
      <c r="B313" s="452" t="s">
        <v>2456</v>
      </c>
      <c r="C313" s="751"/>
      <c r="D313" s="752"/>
      <c r="E313" s="753" t="e">
        <f t="shared" si="30"/>
        <v>#DIV/0!</v>
      </c>
      <c r="F313" s="789">
        <v>240</v>
      </c>
      <c r="G313" s="751">
        <v>140</v>
      </c>
      <c r="H313" s="790">
        <f t="shared" si="31"/>
        <v>0.58333333333333337</v>
      </c>
      <c r="I313" s="754">
        <f t="shared" si="29"/>
        <v>240</v>
      </c>
      <c r="J313" s="755">
        <f t="shared" si="29"/>
        <v>140</v>
      </c>
      <c r="K313" s="650">
        <f t="shared" si="32"/>
        <v>0.58333333333333337</v>
      </c>
    </row>
    <row r="314" spans="1:11" ht="24.95" customHeight="1">
      <c r="A314" s="762" t="s">
        <v>2467</v>
      </c>
      <c r="B314" s="452" t="s">
        <v>2468</v>
      </c>
      <c r="C314" s="751"/>
      <c r="D314" s="752"/>
      <c r="E314" s="753" t="e">
        <f t="shared" si="30"/>
        <v>#DIV/0!</v>
      </c>
      <c r="F314" s="789"/>
      <c r="G314" s="751"/>
      <c r="H314" s="790" t="e">
        <f t="shared" si="31"/>
        <v>#DIV/0!</v>
      </c>
      <c r="I314" s="754">
        <f t="shared" si="29"/>
        <v>0</v>
      </c>
      <c r="J314" s="755">
        <f t="shared" si="29"/>
        <v>0</v>
      </c>
      <c r="K314" s="650" t="e">
        <f t="shared" si="32"/>
        <v>#DIV/0!</v>
      </c>
    </row>
    <row r="315" spans="1:11" ht="24.95" customHeight="1">
      <c r="A315" s="762" t="s">
        <v>2469</v>
      </c>
      <c r="B315" s="452" t="s">
        <v>2470</v>
      </c>
      <c r="C315" s="751"/>
      <c r="D315" s="752"/>
      <c r="E315" s="753" t="e">
        <f t="shared" si="30"/>
        <v>#DIV/0!</v>
      </c>
      <c r="F315" s="789">
        <v>30</v>
      </c>
      <c r="G315" s="751">
        <v>19</v>
      </c>
      <c r="H315" s="790">
        <f t="shared" si="31"/>
        <v>0.6333333333333333</v>
      </c>
      <c r="I315" s="754">
        <f t="shared" si="29"/>
        <v>30</v>
      </c>
      <c r="J315" s="755">
        <f t="shared" si="29"/>
        <v>19</v>
      </c>
      <c r="K315" s="650">
        <f t="shared" si="32"/>
        <v>0.6333333333333333</v>
      </c>
    </row>
    <row r="316" spans="1:11" ht="24.95" customHeight="1">
      <c r="A316" s="762" t="s">
        <v>2904</v>
      </c>
      <c r="B316" s="452" t="s">
        <v>2905</v>
      </c>
      <c r="C316" s="751"/>
      <c r="D316" s="752"/>
      <c r="E316" s="753" t="e">
        <f t="shared" si="30"/>
        <v>#DIV/0!</v>
      </c>
      <c r="F316" s="789">
        <v>65</v>
      </c>
      <c r="G316" s="751">
        <v>38</v>
      </c>
      <c r="H316" s="790">
        <f t="shared" si="31"/>
        <v>0.58461538461538465</v>
      </c>
      <c r="I316" s="754">
        <f t="shared" si="29"/>
        <v>65</v>
      </c>
      <c r="J316" s="755">
        <f t="shared" si="29"/>
        <v>38</v>
      </c>
      <c r="K316" s="650">
        <f t="shared" si="32"/>
        <v>0.58461538461538465</v>
      </c>
    </row>
    <row r="317" spans="1:11" ht="24.95" customHeight="1">
      <c r="A317" s="762" t="s">
        <v>2473</v>
      </c>
      <c r="B317" s="452" t="s">
        <v>2474</v>
      </c>
      <c r="C317" s="751"/>
      <c r="D317" s="752"/>
      <c r="E317" s="753" t="e">
        <f t="shared" si="30"/>
        <v>#DIV/0!</v>
      </c>
      <c r="F317" s="789">
        <v>1</v>
      </c>
      <c r="G317" s="751"/>
      <c r="H317" s="790">
        <f t="shared" si="31"/>
        <v>0</v>
      </c>
      <c r="I317" s="754">
        <f t="shared" si="29"/>
        <v>1</v>
      </c>
      <c r="J317" s="755">
        <f t="shared" si="29"/>
        <v>0</v>
      </c>
      <c r="K317" s="650">
        <f t="shared" si="32"/>
        <v>0</v>
      </c>
    </row>
    <row r="318" spans="1:11" ht="24.95" customHeight="1">
      <c r="A318" s="762" t="s">
        <v>2906</v>
      </c>
      <c r="B318" s="452" t="s">
        <v>2907</v>
      </c>
      <c r="C318" s="751"/>
      <c r="D318" s="752"/>
      <c r="E318" s="753" t="e">
        <f t="shared" si="30"/>
        <v>#DIV/0!</v>
      </c>
      <c r="F318" s="789">
        <v>10</v>
      </c>
      <c r="G318" s="751">
        <v>3</v>
      </c>
      <c r="H318" s="790">
        <f t="shared" si="31"/>
        <v>0.3</v>
      </c>
      <c r="I318" s="754">
        <f t="shared" si="29"/>
        <v>10</v>
      </c>
      <c r="J318" s="755">
        <f t="shared" si="29"/>
        <v>3</v>
      </c>
      <c r="K318" s="650">
        <f t="shared" si="32"/>
        <v>0.3</v>
      </c>
    </row>
    <row r="319" spans="1:11" ht="24.95" customHeight="1">
      <c r="A319" s="762" t="s">
        <v>2908</v>
      </c>
      <c r="B319" s="788" t="s">
        <v>2476</v>
      </c>
      <c r="C319" s="751">
        <v>15</v>
      </c>
      <c r="D319" s="752"/>
      <c r="E319" s="753">
        <f t="shared" si="30"/>
        <v>0</v>
      </c>
      <c r="F319" s="789">
        <v>485</v>
      </c>
      <c r="G319" s="751">
        <v>216</v>
      </c>
      <c r="H319" s="790">
        <f t="shared" si="31"/>
        <v>0.44536082474226807</v>
      </c>
      <c r="I319" s="754">
        <f t="shared" si="29"/>
        <v>500</v>
      </c>
      <c r="J319" s="755">
        <f t="shared" si="29"/>
        <v>216</v>
      </c>
      <c r="K319" s="650">
        <f t="shared" si="32"/>
        <v>0.432</v>
      </c>
    </row>
    <row r="320" spans="1:11" ht="24.95" customHeight="1">
      <c r="A320" s="762" t="s">
        <v>2909</v>
      </c>
      <c r="B320" s="788" t="s">
        <v>2910</v>
      </c>
      <c r="C320" s="751"/>
      <c r="D320" s="752"/>
      <c r="E320" s="753" t="e">
        <f t="shared" si="30"/>
        <v>#DIV/0!</v>
      </c>
      <c r="F320" s="789">
        <v>1</v>
      </c>
      <c r="G320" s="751"/>
      <c r="H320" s="790">
        <f t="shared" si="31"/>
        <v>0</v>
      </c>
      <c r="I320" s="754">
        <f t="shared" si="29"/>
        <v>1</v>
      </c>
      <c r="J320" s="755">
        <f t="shared" si="29"/>
        <v>0</v>
      </c>
      <c r="K320" s="650">
        <f t="shared" si="32"/>
        <v>0</v>
      </c>
    </row>
    <row r="321" spans="1:11" ht="24.95" customHeight="1">
      <c r="A321" s="456" t="s">
        <v>2911</v>
      </c>
      <c r="B321" s="788" t="s">
        <v>2912</v>
      </c>
      <c r="C321" s="751">
        <v>5</v>
      </c>
      <c r="D321" s="752">
        <v>4</v>
      </c>
      <c r="E321" s="753">
        <f t="shared" si="30"/>
        <v>0.8</v>
      </c>
      <c r="F321" s="789">
        <v>135</v>
      </c>
      <c r="G321" s="751">
        <v>55</v>
      </c>
      <c r="H321" s="790">
        <f t="shared" si="31"/>
        <v>0.40740740740740738</v>
      </c>
      <c r="I321" s="754">
        <f t="shared" si="29"/>
        <v>140</v>
      </c>
      <c r="J321" s="755">
        <f t="shared" si="29"/>
        <v>59</v>
      </c>
      <c r="K321" s="650">
        <f t="shared" si="32"/>
        <v>0.42142857142857143</v>
      </c>
    </row>
    <row r="322" spans="1:11" ht="24.95" customHeight="1">
      <c r="A322" s="762" t="s">
        <v>2913</v>
      </c>
      <c r="B322" s="452" t="s">
        <v>2914</v>
      </c>
      <c r="C322" s="751">
        <v>1</v>
      </c>
      <c r="D322" s="752">
        <v>3</v>
      </c>
      <c r="E322" s="753">
        <f t="shared" si="30"/>
        <v>3</v>
      </c>
      <c r="F322" s="789">
        <v>175</v>
      </c>
      <c r="G322" s="751">
        <v>96</v>
      </c>
      <c r="H322" s="790">
        <f t="shared" si="31"/>
        <v>0.5485714285714286</v>
      </c>
      <c r="I322" s="754">
        <f t="shared" si="29"/>
        <v>176</v>
      </c>
      <c r="J322" s="755">
        <f t="shared" si="29"/>
        <v>99</v>
      </c>
      <c r="K322" s="650">
        <f t="shared" si="32"/>
        <v>0.5625</v>
      </c>
    </row>
    <row r="323" spans="1:11" ht="24.95" customHeight="1">
      <c r="A323" s="762" t="s">
        <v>2915</v>
      </c>
      <c r="B323" s="452" t="s">
        <v>2916</v>
      </c>
      <c r="C323" s="751">
        <v>1</v>
      </c>
      <c r="D323" s="752">
        <v>1</v>
      </c>
      <c r="E323" s="753">
        <f t="shared" si="30"/>
        <v>1</v>
      </c>
      <c r="F323" s="789">
        <v>1</v>
      </c>
      <c r="G323" s="751"/>
      <c r="H323" s="790">
        <f t="shared" si="31"/>
        <v>0</v>
      </c>
      <c r="I323" s="754">
        <f t="shared" si="29"/>
        <v>2</v>
      </c>
      <c r="J323" s="755">
        <f t="shared" si="29"/>
        <v>1</v>
      </c>
      <c r="K323" s="650">
        <f t="shared" si="32"/>
        <v>0.5</v>
      </c>
    </row>
    <row r="324" spans="1:11" ht="24.95" customHeight="1">
      <c r="A324" s="762" t="s">
        <v>2917</v>
      </c>
      <c r="B324" s="452" t="s">
        <v>2918</v>
      </c>
      <c r="C324" s="751"/>
      <c r="D324" s="752">
        <v>1</v>
      </c>
      <c r="E324" s="753" t="e">
        <f t="shared" si="30"/>
        <v>#DIV/0!</v>
      </c>
      <c r="F324" s="789">
        <v>20</v>
      </c>
      <c r="G324" s="751"/>
      <c r="H324" s="790">
        <f t="shared" si="31"/>
        <v>0</v>
      </c>
      <c r="I324" s="754">
        <f t="shared" si="29"/>
        <v>20</v>
      </c>
      <c r="J324" s="755">
        <f t="shared" si="29"/>
        <v>1</v>
      </c>
      <c r="K324" s="650">
        <f t="shared" si="32"/>
        <v>0.05</v>
      </c>
    </row>
    <row r="325" spans="1:11" ht="24.95" customHeight="1">
      <c r="A325" s="762" t="s">
        <v>2919</v>
      </c>
      <c r="B325" s="452" t="s">
        <v>2920</v>
      </c>
      <c r="C325" s="751"/>
      <c r="D325" s="752"/>
      <c r="E325" s="753" t="e">
        <f t="shared" si="30"/>
        <v>#DIV/0!</v>
      </c>
      <c r="F325" s="789">
        <v>155</v>
      </c>
      <c r="G325" s="751">
        <v>88</v>
      </c>
      <c r="H325" s="790">
        <f t="shared" si="31"/>
        <v>0.56774193548387097</v>
      </c>
      <c r="I325" s="754">
        <f t="shared" si="29"/>
        <v>155</v>
      </c>
      <c r="J325" s="755">
        <f t="shared" si="29"/>
        <v>88</v>
      </c>
      <c r="K325" s="650">
        <f t="shared" si="32"/>
        <v>0.56774193548387097</v>
      </c>
    </row>
    <row r="326" spans="1:11" ht="24.95" customHeight="1">
      <c r="A326" s="762" t="s">
        <v>2921</v>
      </c>
      <c r="B326" s="452" t="s">
        <v>2922</v>
      </c>
      <c r="C326" s="751"/>
      <c r="D326" s="752"/>
      <c r="E326" s="753" t="e">
        <f t="shared" si="30"/>
        <v>#DIV/0!</v>
      </c>
      <c r="F326" s="789">
        <v>2</v>
      </c>
      <c r="G326" s="751"/>
      <c r="H326" s="790">
        <f t="shared" si="31"/>
        <v>0</v>
      </c>
      <c r="I326" s="754">
        <f t="shared" si="29"/>
        <v>2</v>
      </c>
      <c r="J326" s="755">
        <f t="shared" si="29"/>
        <v>0</v>
      </c>
      <c r="K326" s="650">
        <f t="shared" si="32"/>
        <v>0</v>
      </c>
    </row>
    <row r="327" spans="1:11" ht="24.95" customHeight="1">
      <c r="A327" s="762" t="s">
        <v>2923</v>
      </c>
      <c r="B327" s="452" t="s">
        <v>2924</v>
      </c>
      <c r="C327" s="751"/>
      <c r="D327" s="752"/>
      <c r="E327" s="753" t="e">
        <f t="shared" si="30"/>
        <v>#DIV/0!</v>
      </c>
      <c r="F327" s="789">
        <v>0</v>
      </c>
      <c r="G327" s="751"/>
      <c r="H327" s="790" t="e">
        <f t="shared" si="31"/>
        <v>#DIV/0!</v>
      </c>
      <c r="I327" s="754">
        <f t="shared" si="29"/>
        <v>0</v>
      </c>
      <c r="J327" s="755">
        <f t="shared" si="29"/>
        <v>0</v>
      </c>
      <c r="K327" s="650" t="e">
        <f t="shared" si="32"/>
        <v>#DIV/0!</v>
      </c>
    </row>
    <row r="328" spans="1:11" ht="24.95" customHeight="1">
      <c r="A328" s="762" t="s">
        <v>2925</v>
      </c>
      <c r="B328" s="452" t="s">
        <v>2926</v>
      </c>
      <c r="C328" s="751"/>
      <c r="D328" s="752"/>
      <c r="E328" s="753" t="e">
        <f t="shared" si="30"/>
        <v>#DIV/0!</v>
      </c>
      <c r="F328" s="789">
        <v>0</v>
      </c>
      <c r="G328" s="751"/>
      <c r="H328" s="790" t="e">
        <f t="shared" si="31"/>
        <v>#DIV/0!</v>
      </c>
      <c r="I328" s="754">
        <f t="shared" si="29"/>
        <v>0</v>
      </c>
      <c r="J328" s="755">
        <f t="shared" si="29"/>
        <v>0</v>
      </c>
      <c r="K328" s="650" t="e">
        <f t="shared" si="32"/>
        <v>#DIV/0!</v>
      </c>
    </row>
    <row r="329" spans="1:11" ht="24.95" customHeight="1">
      <c r="A329" s="762" t="s">
        <v>2927</v>
      </c>
      <c r="B329" s="452" t="s">
        <v>2928</v>
      </c>
      <c r="C329" s="751"/>
      <c r="D329" s="752"/>
      <c r="E329" s="753" t="e">
        <f t="shared" si="30"/>
        <v>#DIV/0!</v>
      </c>
      <c r="F329" s="789">
        <v>15</v>
      </c>
      <c r="G329" s="751">
        <v>10</v>
      </c>
      <c r="H329" s="790">
        <f t="shared" si="31"/>
        <v>0.66666666666666663</v>
      </c>
      <c r="I329" s="754">
        <f t="shared" si="29"/>
        <v>15</v>
      </c>
      <c r="J329" s="755">
        <f t="shared" si="29"/>
        <v>10</v>
      </c>
      <c r="K329" s="650">
        <f t="shared" si="32"/>
        <v>0.66666666666666663</v>
      </c>
    </row>
    <row r="330" spans="1:11" ht="24.95" customHeight="1">
      <c r="A330" s="787" t="s">
        <v>2929</v>
      </c>
      <c r="B330" s="760" t="s">
        <v>2930</v>
      </c>
      <c r="C330" s="751">
        <v>340</v>
      </c>
      <c r="D330" s="752">
        <v>191</v>
      </c>
      <c r="E330" s="753">
        <f t="shared" si="30"/>
        <v>0.56176470588235294</v>
      </c>
      <c r="F330" s="789">
        <v>65</v>
      </c>
      <c r="G330" s="751">
        <v>39</v>
      </c>
      <c r="H330" s="790">
        <f t="shared" si="31"/>
        <v>0.6</v>
      </c>
      <c r="I330" s="754">
        <f t="shared" si="29"/>
        <v>405</v>
      </c>
      <c r="J330" s="755">
        <f t="shared" si="29"/>
        <v>230</v>
      </c>
      <c r="K330" s="650">
        <f t="shared" si="32"/>
        <v>0.5679012345679012</v>
      </c>
    </row>
    <row r="331" spans="1:11" ht="24.95" customHeight="1">
      <c r="A331" s="800" t="s">
        <v>2931</v>
      </c>
      <c r="B331" s="452" t="s">
        <v>2932</v>
      </c>
      <c r="C331" s="751">
        <v>25</v>
      </c>
      <c r="D331" s="752"/>
      <c r="E331" s="753">
        <f t="shared" si="30"/>
        <v>0</v>
      </c>
      <c r="F331" s="789"/>
      <c r="G331" s="751"/>
      <c r="H331" s="790" t="e">
        <f t="shared" si="31"/>
        <v>#DIV/0!</v>
      </c>
      <c r="I331" s="754">
        <f t="shared" si="29"/>
        <v>25</v>
      </c>
      <c r="J331" s="755">
        <f t="shared" si="29"/>
        <v>0</v>
      </c>
      <c r="K331" s="650">
        <f t="shared" si="32"/>
        <v>0</v>
      </c>
    </row>
    <row r="332" spans="1:11" ht="24.95" customHeight="1">
      <c r="A332" s="456" t="s">
        <v>2933</v>
      </c>
      <c r="B332" s="452" t="s">
        <v>2934</v>
      </c>
      <c r="C332" s="751"/>
      <c r="D332" s="752"/>
      <c r="E332" s="753" t="e">
        <f t="shared" si="30"/>
        <v>#DIV/0!</v>
      </c>
      <c r="F332" s="789">
        <v>1</v>
      </c>
      <c r="G332" s="751">
        <v>1</v>
      </c>
      <c r="H332" s="790">
        <f t="shared" si="31"/>
        <v>1</v>
      </c>
      <c r="I332" s="754">
        <f t="shared" si="29"/>
        <v>1</v>
      </c>
      <c r="J332" s="755">
        <f t="shared" si="29"/>
        <v>1</v>
      </c>
      <c r="K332" s="650">
        <f t="shared" si="32"/>
        <v>1</v>
      </c>
    </row>
    <row r="333" spans="1:11" ht="24.95" customHeight="1">
      <c r="A333" s="456" t="s">
        <v>2481</v>
      </c>
      <c r="B333" s="452" t="s">
        <v>2935</v>
      </c>
      <c r="C333" s="751">
        <v>5</v>
      </c>
      <c r="D333" s="752"/>
      <c r="E333" s="753">
        <f t="shared" si="30"/>
        <v>0</v>
      </c>
      <c r="F333" s="789">
        <v>1</v>
      </c>
      <c r="G333" s="751">
        <v>1</v>
      </c>
      <c r="H333" s="790">
        <f t="shared" si="31"/>
        <v>1</v>
      </c>
      <c r="I333" s="754">
        <f t="shared" si="29"/>
        <v>6</v>
      </c>
      <c r="J333" s="755">
        <f t="shared" si="29"/>
        <v>1</v>
      </c>
      <c r="K333" s="650">
        <f t="shared" si="32"/>
        <v>0.16666666666666666</v>
      </c>
    </row>
    <row r="334" spans="1:11" ht="24.95" customHeight="1">
      <c r="A334" s="456" t="s">
        <v>2936</v>
      </c>
      <c r="B334" s="452" t="s">
        <v>2937</v>
      </c>
      <c r="C334" s="751"/>
      <c r="D334" s="752"/>
      <c r="E334" s="753" t="e">
        <f t="shared" si="30"/>
        <v>#DIV/0!</v>
      </c>
      <c r="F334" s="789">
        <v>2</v>
      </c>
      <c r="G334" s="751"/>
      <c r="H334" s="790">
        <f t="shared" si="31"/>
        <v>0</v>
      </c>
      <c r="I334" s="754">
        <f t="shared" si="29"/>
        <v>2</v>
      </c>
      <c r="J334" s="755">
        <f t="shared" si="29"/>
        <v>0</v>
      </c>
      <c r="K334" s="650">
        <f t="shared" si="32"/>
        <v>0</v>
      </c>
    </row>
    <row r="335" spans="1:11" ht="24.95" customHeight="1">
      <c r="A335" s="456" t="s">
        <v>2938</v>
      </c>
      <c r="B335" s="452" t="s">
        <v>2939</v>
      </c>
      <c r="C335" s="751"/>
      <c r="D335" s="752"/>
      <c r="E335" s="753" t="e">
        <f t="shared" si="30"/>
        <v>#DIV/0!</v>
      </c>
      <c r="F335" s="789">
        <v>35</v>
      </c>
      <c r="G335" s="751">
        <v>17</v>
      </c>
      <c r="H335" s="790">
        <f t="shared" si="31"/>
        <v>0.48571428571428571</v>
      </c>
      <c r="I335" s="754">
        <f t="shared" si="29"/>
        <v>35</v>
      </c>
      <c r="J335" s="755">
        <f t="shared" si="29"/>
        <v>17</v>
      </c>
      <c r="K335" s="650">
        <f t="shared" si="32"/>
        <v>0.48571428571428571</v>
      </c>
    </row>
    <row r="336" spans="1:11" ht="24.95" customHeight="1">
      <c r="A336" s="456" t="s">
        <v>2940</v>
      </c>
      <c r="B336" s="452" t="s">
        <v>2941</v>
      </c>
      <c r="C336" s="751"/>
      <c r="D336" s="752"/>
      <c r="E336" s="753" t="e">
        <f t="shared" si="30"/>
        <v>#DIV/0!</v>
      </c>
      <c r="F336" s="789">
        <v>5</v>
      </c>
      <c r="G336" s="751"/>
      <c r="H336" s="790">
        <f t="shared" si="31"/>
        <v>0</v>
      </c>
      <c r="I336" s="754">
        <f t="shared" ref="I336:J367" si="33">+C336+F336</f>
        <v>5</v>
      </c>
      <c r="J336" s="755">
        <f t="shared" si="33"/>
        <v>0</v>
      </c>
      <c r="K336" s="650">
        <f t="shared" si="32"/>
        <v>0</v>
      </c>
    </row>
    <row r="337" spans="1:11" ht="24.95" customHeight="1">
      <c r="A337" s="456" t="s">
        <v>2942</v>
      </c>
      <c r="B337" s="452" t="s">
        <v>2943</v>
      </c>
      <c r="C337" s="751"/>
      <c r="D337" s="752"/>
      <c r="E337" s="753" t="e">
        <f t="shared" si="30"/>
        <v>#DIV/0!</v>
      </c>
      <c r="F337" s="789">
        <v>55</v>
      </c>
      <c r="G337" s="751">
        <v>33</v>
      </c>
      <c r="H337" s="790">
        <f t="shared" si="31"/>
        <v>0.6</v>
      </c>
      <c r="I337" s="754">
        <f t="shared" si="33"/>
        <v>55</v>
      </c>
      <c r="J337" s="755">
        <f t="shared" si="33"/>
        <v>33</v>
      </c>
      <c r="K337" s="650">
        <f t="shared" si="32"/>
        <v>0.6</v>
      </c>
    </row>
    <row r="338" spans="1:11" ht="24.95" customHeight="1">
      <c r="A338" s="456" t="s">
        <v>2548</v>
      </c>
      <c r="B338" s="452" t="s">
        <v>2549</v>
      </c>
      <c r="C338" s="751"/>
      <c r="D338" s="752"/>
      <c r="E338" s="753" t="e">
        <f t="shared" si="30"/>
        <v>#DIV/0!</v>
      </c>
      <c r="F338" s="789"/>
      <c r="G338" s="751"/>
      <c r="H338" s="778" t="e">
        <f t="shared" si="31"/>
        <v>#DIV/0!</v>
      </c>
      <c r="I338" s="755">
        <f t="shared" si="33"/>
        <v>0</v>
      </c>
      <c r="J338" s="755">
        <f t="shared" si="33"/>
        <v>0</v>
      </c>
      <c r="K338" s="650" t="e">
        <f t="shared" si="32"/>
        <v>#DIV/0!</v>
      </c>
    </row>
    <row r="339" spans="1:11" ht="24.95" customHeight="1">
      <c r="A339" s="762" t="s">
        <v>2944</v>
      </c>
      <c r="B339" s="452" t="s">
        <v>2945</v>
      </c>
      <c r="C339" s="751">
        <v>2</v>
      </c>
      <c r="D339" s="752"/>
      <c r="E339" s="753">
        <f t="shared" si="30"/>
        <v>0</v>
      </c>
      <c r="F339" s="789">
        <v>105</v>
      </c>
      <c r="G339" s="751">
        <v>41</v>
      </c>
      <c r="H339" s="778">
        <f t="shared" si="31"/>
        <v>0.39047619047619048</v>
      </c>
      <c r="I339" s="755">
        <f t="shared" si="33"/>
        <v>107</v>
      </c>
      <c r="J339" s="755">
        <f t="shared" si="33"/>
        <v>41</v>
      </c>
      <c r="K339" s="650">
        <f t="shared" si="32"/>
        <v>0.38317757009345793</v>
      </c>
    </row>
    <row r="340" spans="1:11" ht="24.95" customHeight="1">
      <c r="A340" s="762" t="s">
        <v>2946</v>
      </c>
      <c r="B340" s="452" t="s">
        <v>2947</v>
      </c>
      <c r="C340" s="751"/>
      <c r="D340" s="752"/>
      <c r="E340" s="753" t="e">
        <f t="shared" si="30"/>
        <v>#DIV/0!</v>
      </c>
      <c r="F340" s="789">
        <v>0</v>
      </c>
      <c r="G340" s="751"/>
      <c r="H340" s="778" t="e">
        <f t="shared" si="31"/>
        <v>#DIV/0!</v>
      </c>
      <c r="I340" s="755">
        <f t="shared" si="33"/>
        <v>0</v>
      </c>
      <c r="J340" s="755">
        <f t="shared" si="33"/>
        <v>0</v>
      </c>
      <c r="K340" s="650" t="e">
        <f t="shared" si="32"/>
        <v>#DIV/0!</v>
      </c>
    </row>
    <row r="341" spans="1:11" ht="24.95" customHeight="1">
      <c r="A341" s="762" t="s">
        <v>1933</v>
      </c>
      <c r="B341" s="452" t="s">
        <v>2948</v>
      </c>
      <c r="C341" s="751">
        <v>2</v>
      </c>
      <c r="D341" s="752"/>
      <c r="E341" s="753">
        <f t="shared" si="30"/>
        <v>0</v>
      </c>
      <c r="F341" s="789">
        <v>75</v>
      </c>
      <c r="G341" s="751"/>
      <c r="H341" s="778">
        <f t="shared" si="31"/>
        <v>0</v>
      </c>
      <c r="I341" s="755">
        <f t="shared" si="33"/>
        <v>77</v>
      </c>
      <c r="J341" s="755">
        <f t="shared" si="33"/>
        <v>0</v>
      </c>
      <c r="K341" s="650">
        <f t="shared" si="32"/>
        <v>0</v>
      </c>
    </row>
    <row r="342" spans="1:11" ht="24.95" customHeight="1">
      <c r="A342" s="762" t="s">
        <v>2949</v>
      </c>
      <c r="B342" s="452" t="s">
        <v>2950</v>
      </c>
      <c r="C342" s="751"/>
      <c r="D342" s="752"/>
      <c r="E342" s="753" t="e">
        <f t="shared" si="30"/>
        <v>#DIV/0!</v>
      </c>
      <c r="F342" s="789">
        <v>0</v>
      </c>
      <c r="G342" s="751"/>
      <c r="H342" s="778" t="e">
        <f t="shared" si="31"/>
        <v>#DIV/0!</v>
      </c>
      <c r="I342" s="755">
        <f t="shared" si="33"/>
        <v>0</v>
      </c>
      <c r="J342" s="755">
        <f t="shared" si="33"/>
        <v>0</v>
      </c>
      <c r="K342" s="650" t="e">
        <f t="shared" si="32"/>
        <v>#DIV/0!</v>
      </c>
    </row>
    <row r="343" spans="1:11" ht="24.95" customHeight="1">
      <c r="A343" s="762" t="s">
        <v>2951</v>
      </c>
      <c r="B343" s="452" t="s">
        <v>2952</v>
      </c>
      <c r="C343" s="751"/>
      <c r="D343" s="752"/>
      <c r="E343" s="753" t="e">
        <f t="shared" si="30"/>
        <v>#DIV/0!</v>
      </c>
      <c r="F343" s="789">
        <v>0</v>
      </c>
      <c r="G343" s="751"/>
      <c r="H343" s="778" t="e">
        <f t="shared" si="31"/>
        <v>#DIV/0!</v>
      </c>
      <c r="I343" s="755">
        <f t="shared" si="33"/>
        <v>0</v>
      </c>
      <c r="J343" s="755">
        <f t="shared" si="33"/>
        <v>0</v>
      </c>
      <c r="K343" s="650" t="e">
        <f t="shared" si="32"/>
        <v>#DIV/0!</v>
      </c>
    </row>
    <row r="344" spans="1:11" ht="24.95" customHeight="1">
      <c r="A344" s="762" t="s">
        <v>2953</v>
      </c>
      <c r="B344" s="452" t="s">
        <v>2954</v>
      </c>
      <c r="C344" s="751"/>
      <c r="D344" s="752"/>
      <c r="E344" s="753" t="e">
        <f t="shared" si="30"/>
        <v>#DIV/0!</v>
      </c>
      <c r="F344" s="789">
        <v>0</v>
      </c>
      <c r="G344" s="751"/>
      <c r="H344" s="778" t="e">
        <f t="shared" si="31"/>
        <v>#DIV/0!</v>
      </c>
      <c r="I344" s="755">
        <f t="shared" si="33"/>
        <v>0</v>
      </c>
      <c r="J344" s="755">
        <f t="shared" si="33"/>
        <v>0</v>
      </c>
      <c r="K344" s="650" t="e">
        <f t="shared" si="32"/>
        <v>#DIV/0!</v>
      </c>
    </row>
    <row r="345" spans="1:11" ht="24.95" customHeight="1">
      <c r="A345" s="762" t="s">
        <v>2955</v>
      </c>
      <c r="B345" s="452" t="s">
        <v>2956</v>
      </c>
      <c r="C345" s="751"/>
      <c r="D345" s="752"/>
      <c r="E345" s="753" t="e">
        <f t="shared" si="30"/>
        <v>#DIV/0!</v>
      </c>
      <c r="F345" s="789">
        <v>0</v>
      </c>
      <c r="G345" s="751"/>
      <c r="H345" s="790" t="e">
        <f t="shared" si="31"/>
        <v>#DIV/0!</v>
      </c>
      <c r="I345" s="755">
        <f t="shared" si="33"/>
        <v>0</v>
      </c>
      <c r="J345" s="755">
        <f t="shared" si="33"/>
        <v>0</v>
      </c>
      <c r="K345" s="650" t="e">
        <f t="shared" si="32"/>
        <v>#DIV/0!</v>
      </c>
    </row>
    <row r="346" spans="1:11" ht="24.95" customHeight="1">
      <c r="A346" s="762" t="s">
        <v>2613</v>
      </c>
      <c r="B346" s="760" t="s">
        <v>2614</v>
      </c>
      <c r="C346" s="751"/>
      <c r="D346" s="752"/>
      <c r="E346" s="753" t="e">
        <f t="shared" si="30"/>
        <v>#DIV/0!</v>
      </c>
      <c r="F346" s="789">
        <v>2</v>
      </c>
      <c r="G346" s="751"/>
      <c r="H346" s="790">
        <f t="shared" si="31"/>
        <v>0</v>
      </c>
      <c r="I346" s="755">
        <f t="shared" si="33"/>
        <v>2</v>
      </c>
      <c r="J346" s="755">
        <f t="shared" si="33"/>
        <v>0</v>
      </c>
      <c r="K346" s="650">
        <f t="shared" si="32"/>
        <v>0</v>
      </c>
    </row>
    <row r="347" spans="1:11" ht="24.95" customHeight="1">
      <c r="A347" s="762" t="s">
        <v>2957</v>
      </c>
      <c r="B347" s="760" t="s">
        <v>2958</v>
      </c>
      <c r="C347" s="751"/>
      <c r="D347" s="752"/>
      <c r="E347" s="753" t="e">
        <f t="shared" si="30"/>
        <v>#DIV/0!</v>
      </c>
      <c r="F347" s="789">
        <v>0</v>
      </c>
      <c r="G347" s="751"/>
      <c r="H347" s="790" t="e">
        <f t="shared" si="31"/>
        <v>#DIV/0!</v>
      </c>
      <c r="I347" s="755">
        <f t="shared" si="33"/>
        <v>0</v>
      </c>
      <c r="J347" s="755">
        <f t="shared" si="33"/>
        <v>0</v>
      </c>
      <c r="K347" s="650" t="e">
        <f t="shared" si="32"/>
        <v>#DIV/0!</v>
      </c>
    </row>
    <row r="348" spans="1:11" ht="24.95" customHeight="1">
      <c r="A348" s="750" t="s">
        <v>2959</v>
      </c>
      <c r="B348" s="788" t="s">
        <v>2960</v>
      </c>
      <c r="C348" s="751"/>
      <c r="D348" s="752"/>
      <c r="E348" s="753" t="e">
        <f t="shared" si="30"/>
        <v>#DIV/0!</v>
      </c>
      <c r="F348" s="789">
        <v>0</v>
      </c>
      <c r="G348" s="751"/>
      <c r="H348" s="790" t="e">
        <f t="shared" si="31"/>
        <v>#DIV/0!</v>
      </c>
      <c r="I348" s="755">
        <f t="shared" si="33"/>
        <v>0</v>
      </c>
      <c r="J348" s="755">
        <f t="shared" si="33"/>
        <v>0</v>
      </c>
      <c r="K348" s="650" t="e">
        <f t="shared" si="32"/>
        <v>#DIV/0!</v>
      </c>
    </row>
    <row r="349" spans="1:11" ht="24.95" customHeight="1">
      <c r="A349" s="787" t="s">
        <v>2327</v>
      </c>
      <c r="B349" s="760" t="s">
        <v>2328</v>
      </c>
      <c r="C349" s="751"/>
      <c r="D349" s="752"/>
      <c r="E349" s="753" t="e">
        <f t="shared" si="30"/>
        <v>#DIV/0!</v>
      </c>
      <c r="F349" s="789">
        <v>1</v>
      </c>
      <c r="G349" s="751">
        <v>3</v>
      </c>
      <c r="H349" s="790">
        <f t="shared" si="31"/>
        <v>3</v>
      </c>
      <c r="I349" s="755">
        <f t="shared" si="33"/>
        <v>1</v>
      </c>
      <c r="J349" s="755">
        <f t="shared" si="33"/>
        <v>3</v>
      </c>
      <c r="K349" s="650">
        <f t="shared" si="32"/>
        <v>3</v>
      </c>
    </row>
    <row r="350" spans="1:11" ht="24.95" customHeight="1">
      <c r="A350" s="787" t="s">
        <v>2176</v>
      </c>
      <c r="B350" s="760" t="s">
        <v>2177</v>
      </c>
      <c r="C350" s="751"/>
      <c r="D350" s="752"/>
      <c r="E350" s="753" t="e">
        <f t="shared" si="30"/>
        <v>#DIV/0!</v>
      </c>
      <c r="F350" s="789">
        <v>35</v>
      </c>
      <c r="G350" s="751">
        <v>18</v>
      </c>
      <c r="H350" s="790">
        <f t="shared" si="31"/>
        <v>0.51428571428571423</v>
      </c>
      <c r="I350" s="755">
        <f t="shared" si="33"/>
        <v>35</v>
      </c>
      <c r="J350" s="755">
        <f t="shared" si="33"/>
        <v>18</v>
      </c>
      <c r="K350" s="650">
        <f t="shared" si="32"/>
        <v>0.51428571428571423</v>
      </c>
    </row>
    <row r="351" spans="1:11" ht="24.95" customHeight="1">
      <c r="A351" s="787" t="s">
        <v>2620</v>
      </c>
      <c r="B351" s="760" t="s">
        <v>2621</v>
      </c>
      <c r="C351" s="751">
        <v>5</v>
      </c>
      <c r="D351" s="752">
        <v>10</v>
      </c>
      <c r="E351" s="753">
        <f t="shared" si="30"/>
        <v>2</v>
      </c>
      <c r="F351" s="789">
        <v>350</v>
      </c>
      <c r="G351" s="751">
        <v>117</v>
      </c>
      <c r="H351" s="790">
        <f t="shared" si="31"/>
        <v>0.3342857142857143</v>
      </c>
      <c r="I351" s="755">
        <f t="shared" si="33"/>
        <v>355</v>
      </c>
      <c r="J351" s="755">
        <f t="shared" si="33"/>
        <v>127</v>
      </c>
      <c r="K351" s="650">
        <f t="shared" si="32"/>
        <v>0.35774647887323946</v>
      </c>
    </row>
    <row r="352" spans="1:11" ht="24.95" customHeight="1">
      <c r="A352" s="787" t="s">
        <v>2329</v>
      </c>
      <c r="B352" s="760" t="s">
        <v>2961</v>
      </c>
      <c r="C352" s="751"/>
      <c r="D352" s="752"/>
      <c r="E352" s="753" t="e">
        <f t="shared" si="30"/>
        <v>#DIV/0!</v>
      </c>
      <c r="F352" s="789">
        <v>5</v>
      </c>
      <c r="G352" s="751"/>
      <c r="H352" s="790">
        <f t="shared" si="31"/>
        <v>0</v>
      </c>
      <c r="I352" s="755">
        <f t="shared" si="33"/>
        <v>5</v>
      </c>
      <c r="J352" s="755">
        <f t="shared" si="33"/>
        <v>0</v>
      </c>
      <c r="K352" s="650">
        <f t="shared" si="32"/>
        <v>0</v>
      </c>
    </row>
    <row r="353" spans="1:11" ht="24.95" customHeight="1">
      <c r="A353" s="787" t="s">
        <v>2622</v>
      </c>
      <c r="B353" s="760" t="s">
        <v>2962</v>
      </c>
      <c r="C353" s="751"/>
      <c r="D353" s="752"/>
      <c r="E353" s="753" t="e">
        <f t="shared" si="30"/>
        <v>#DIV/0!</v>
      </c>
      <c r="F353" s="789">
        <v>2</v>
      </c>
      <c r="G353" s="751"/>
      <c r="H353" s="790">
        <f t="shared" si="31"/>
        <v>0</v>
      </c>
      <c r="I353" s="755">
        <f t="shared" si="33"/>
        <v>2</v>
      </c>
      <c r="J353" s="755">
        <f t="shared" si="33"/>
        <v>0</v>
      </c>
      <c r="K353" s="650">
        <f t="shared" si="32"/>
        <v>0</v>
      </c>
    </row>
    <row r="354" spans="1:11" ht="24.95" customHeight="1">
      <c r="A354" s="787" t="s">
        <v>2624</v>
      </c>
      <c r="B354" s="760" t="s">
        <v>2330</v>
      </c>
      <c r="C354" s="751"/>
      <c r="D354" s="752">
        <v>2</v>
      </c>
      <c r="E354" s="753" t="e">
        <f t="shared" si="30"/>
        <v>#DIV/0!</v>
      </c>
      <c r="F354" s="789">
        <v>6410</v>
      </c>
      <c r="G354" s="751">
        <v>3044</v>
      </c>
      <c r="H354" s="790">
        <f t="shared" si="31"/>
        <v>0.47488299531981282</v>
      </c>
      <c r="I354" s="755">
        <f t="shared" si="33"/>
        <v>6410</v>
      </c>
      <c r="J354" s="755">
        <f t="shared" si="33"/>
        <v>3046</v>
      </c>
      <c r="K354" s="650">
        <f t="shared" si="32"/>
        <v>0.47519500780031199</v>
      </c>
    </row>
    <row r="355" spans="1:11" ht="24.95" customHeight="1">
      <c r="A355" s="787" t="s">
        <v>2331</v>
      </c>
      <c r="B355" s="760" t="s">
        <v>2332</v>
      </c>
      <c r="C355" s="751">
        <v>1</v>
      </c>
      <c r="D355" s="752">
        <v>1</v>
      </c>
      <c r="E355" s="753">
        <f t="shared" si="30"/>
        <v>1</v>
      </c>
      <c r="F355" s="789">
        <v>70</v>
      </c>
      <c r="G355" s="751">
        <v>24</v>
      </c>
      <c r="H355" s="790">
        <f t="shared" si="31"/>
        <v>0.34285714285714286</v>
      </c>
      <c r="I355" s="755">
        <f t="shared" si="33"/>
        <v>71</v>
      </c>
      <c r="J355" s="755">
        <f t="shared" si="33"/>
        <v>25</v>
      </c>
      <c r="K355" s="650">
        <f t="shared" si="32"/>
        <v>0.352112676056338</v>
      </c>
    </row>
    <row r="356" spans="1:11" ht="24.95" customHeight="1">
      <c r="A356" s="787" t="s">
        <v>2625</v>
      </c>
      <c r="B356" s="760" t="s">
        <v>2626</v>
      </c>
      <c r="C356" s="751"/>
      <c r="D356" s="752"/>
      <c r="E356" s="753" t="e">
        <f t="shared" si="30"/>
        <v>#DIV/0!</v>
      </c>
      <c r="F356" s="789">
        <v>0</v>
      </c>
      <c r="G356" s="751"/>
      <c r="H356" s="790" t="e">
        <f t="shared" si="31"/>
        <v>#DIV/0!</v>
      </c>
      <c r="I356" s="755">
        <f t="shared" si="33"/>
        <v>0</v>
      </c>
      <c r="J356" s="755">
        <f t="shared" si="33"/>
        <v>0</v>
      </c>
      <c r="K356" s="650" t="e">
        <f t="shared" si="32"/>
        <v>#DIV/0!</v>
      </c>
    </row>
    <row r="357" spans="1:11" ht="24.95" customHeight="1">
      <c r="A357" s="759" t="s">
        <v>2627</v>
      </c>
      <c r="B357" s="788" t="s">
        <v>2628</v>
      </c>
      <c r="C357" s="751"/>
      <c r="D357" s="752"/>
      <c r="E357" s="753" t="e">
        <f t="shared" si="30"/>
        <v>#DIV/0!</v>
      </c>
      <c r="F357" s="789">
        <v>55</v>
      </c>
      <c r="G357" s="751">
        <v>25</v>
      </c>
      <c r="H357" s="790">
        <f t="shared" si="31"/>
        <v>0.45454545454545453</v>
      </c>
      <c r="I357" s="755">
        <f t="shared" si="33"/>
        <v>55</v>
      </c>
      <c r="J357" s="755">
        <f t="shared" si="33"/>
        <v>25</v>
      </c>
      <c r="K357" s="650">
        <f t="shared" si="32"/>
        <v>0.45454545454545453</v>
      </c>
    </row>
    <row r="358" spans="1:11" ht="24.95" customHeight="1">
      <c r="A358" s="787" t="s">
        <v>2629</v>
      </c>
      <c r="B358" s="760" t="s">
        <v>2630</v>
      </c>
      <c r="C358" s="751">
        <v>2</v>
      </c>
      <c r="D358" s="752">
        <v>1</v>
      </c>
      <c r="E358" s="753">
        <f t="shared" si="30"/>
        <v>0.5</v>
      </c>
      <c r="F358" s="789">
        <v>2000</v>
      </c>
      <c r="G358" s="751">
        <v>736</v>
      </c>
      <c r="H358" s="790">
        <f t="shared" si="31"/>
        <v>0.36799999999999999</v>
      </c>
      <c r="I358" s="755">
        <f t="shared" si="33"/>
        <v>2002</v>
      </c>
      <c r="J358" s="755">
        <f t="shared" si="33"/>
        <v>737</v>
      </c>
      <c r="K358" s="650">
        <f t="shared" si="32"/>
        <v>0.36813186813186816</v>
      </c>
    </row>
    <row r="359" spans="1:11" ht="24.95" customHeight="1">
      <c r="A359" s="787" t="s">
        <v>2631</v>
      </c>
      <c r="B359" s="760" t="s">
        <v>2632</v>
      </c>
      <c r="C359" s="751">
        <v>3</v>
      </c>
      <c r="D359" s="752">
        <v>6</v>
      </c>
      <c r="E359" s="753">
        <f t="shared" si="30"/>
        <v>2</v>
      </c>
      <c r="F359" s="789">
        <v>8500</v>
      </c>
      <c r="G359" s="751">
        <v>3421</v>
      </c>
      <c r="H359" s="790">
        <f t="shared" si="31"/>
        <v>0.40247058823529414</v>
      </c>
      <c r="I359" s="755">
        <f t="shared" si="33"/>
        <v>8503</v>
      </c>
      <c r="J359" s="755">
        <f t="shared" si="33"/>
        <v>3427</v>
      </c>
      <c r="K359" s="650">
        <f t="shared" si="32"/>
        <v>0.40303422321533577</v>
      </c>
    </row>
    <row r="360" spans="1:11" ht="24.95" customHeight="1">
      <c r="A360" s="787" t="s">
        <v>2178</v>
      </c>
      <c r="B360" s="760" t="s">
        <v>2179</v>
      </c>
      <c r="C360" s="751">
        <v>8</v>
      </c>
      <c r="D360" s="752">
        <v>9</v>
      </c>
      <c r="E360" s="753">
        <f t="shared" si="30"/>
        <v>1.125</v>
      </c>
      <c r="F360" s="789">
        <v>3950</v>
      </c>
      <c r="G360" s="751">
        <v>1344</v>
      </c>
      <c r="H360" s="790">
        <f t="shared" si="31"/>
        <v>0.34025316455696203</v>
      </c>
      <c r="I360" s="755">
        <f t="shared" si="33"/>
        <v>3958</v>
      </c>
      <c r="J360" s="755">
        <f t="shared" si="33"/>
        <v>1353</v>
      </c>
      <c r="K360" s="650">
        <f t="shared" si="32"/>
        <v>0.34183931278423446</v>
      </c>
    </row>
    <row r="361" spans="1:11" ht="24.95" customHeight="1">
      <c r="A361" s="787" t="s">
        <v>2963</v>
      </c>
      <c r="B361" s="760" t="s">
        <v>2964</v>
      </c>
      <c r="C361" s="751"/>
      <c r="D361" s="752"/>
      <c r="E361" s="753" t="e">
        <f t="shared" si="30"/>
        <v>#DIV/0!</v>
      </c>
      <c r="F361" s="789">
        <v>1</v>
      </c>
      <c r="G361" s="751">
        <v>1</v>
      </c>
      <c r="H361" s="790">
        <f t="shared" si="31"/>
        <v>1</v>
      </c>
      <c r="I361" s="755">
        <f t="shared" si="33"/>
        <v>1</v>
      </c>
      <c r="J361" s="755">
        <f t="shared" si="33"/>
        <v>1</v>
      </c>
      <c r="K361" s="650">
        <f t="shared" si="32"/>
        <v>1</v>
      </c>
    </row>
    <row r="362" spans="1:11" ht="24.95" customHeight="1">
      <c r="A362" s="787" t="s">
        <v>2633</v>
      </c>
      <c r="B362" s="760" t="s">
        <v>2965</v>
      </c>
      <c r="C362" s="751"/>
      <c r="D362" s="752"/>
      <c r="E362" s="753" t="e">
        <f t="shared" si="30"/>
        <v>#DIV/0!</v>
      </c>
      <c r="F362" s="789">
        <v>1760</v>
      </c>
      <c r="G362" s="751">
        <v>941</v>
      </c>
      <c r="H362" s="790">
        <f t="shared" si="31"/>
        <v>0.53465909090909092</v>
      </c>
      <c r="I362" s="755">
        <f t="shared" si="33"/>
        <v>1760</v>
      </c>
      <c r="J362" s="755">
        <f t="shared" si="33"/>
        <v>941</v>
      </c>
      <c r="K362" s="650">
        <f t="shared" si="32"/>
        <v>0.53465909090909092</v>
      </c>
    </row>
    <row r="363" spans="1:11" ht="24.95" customHeight="1">
      <c r="A363" s="787" t="s">
        <v>2635</v>
      </c>
      <c r="B363" s="760" t="s">
        <v>2966</v>
      </c>
      <c r="C363" s="751"/>
      <c r="D363" s="752"/>
      <c r="E363" s="753" t="e">
        <f t="shared" si="30"/>
        <v>#DIV/0!</v>
      </c>
      <c r="F363" s="789"/>
      <c r="G363" s="751">
        <v>2</v>
      </c>
      <c r="H363" s="790" t="e">
        <f t="shared" si="31"/>
        <v>#DIV/0!</v>
      </c>
      <c r="I363" s="755">
        <f t="shared" si="33"/>
        <v>0</v>
      </c>
      <c r="J363" s="755">
        <f t="shared" si="33"/>
        <v>2</v>
      </c>
      <c r="K363" s="650" t="e">
        <f t="shared" si="32"/>
        <v>#DIV/0!</v>
      </c>
    </row>
    <row r="364" spans="1:11" ht="24.95" customHeight="1">
      <c r="A364" s="787" t="s">
        <v>2967</v>
      </c>
      <c r="B364" s="760" t="s">
        <v>2968</v>
      </c>
      <c r="C364" s="751"/>
      <c r="D364" s="752"/>
      <c r="E364" s="753" t="e">
        <f t="shared" si="30"/>
        <v>#DIV/0!</v>
      </c>
      <c r="F364" s="789"/>
      <c r="G364" s="751"/>
      <c r="H364" s="790" t="e">
        <f t="shared" si="31"/>
        <v>#DIV/0!</v>
      </c>
      <c r="I364" s="755">
        <f t="shared" si="33"/>
        <v>0</v>
      </c>
      <c r="J364" s="755">
        <f t="shared" si="33"/>
        <v>0</v>
      </c>
      <c r="K364" s="650" t="e">
        <f t="shared" si="32"/>
        <v>#DIV/0!</v>
      </c>
    </row>
    <row r="365" spans="1:11" ht="24.95" customHeight="1">
      <c r="A365" s="787" t="s">
        <v>2637</v>
      </c>
      <c r="B365" s="760" t="s">
        <v>2638</v>
      </c>
      <c r="C365" s="751"/>
      <c r="D365" s="752"/>
      <c r="E365" s="753" t="e">
        <f t="shared" si="30"/>
        <v>#DIV/0!</v>
      </c>
      <c r="F365" s="789">
        <v>65</v>
      </c>
      <c r="G365" s="751">
        <v>8</v>
      </c>
      <c r="H365" s="790">
        <f t="shared" si="31"/>
        <v>0.12307692307692308</v>
      </c>
      <c r="I365" s="755">
        <f t="shared" si="33"/>
        <v>65</v>
      </c>
      <c r="J365" s="755">
        <f t="shared" si="33"/>
        <v>8</v>
      </c>
      <c r="K365" s="650">
        <f t="shared" si="32"/>
        <v>0.12307692307692308</v>
      </c>
    </row>
    <row r="366" spans="1:11" ht="24.95" customHeight="1">
      <c r="A366" s="759" t="s">
        <v>2969</v>
      </c>
      <c r="B366" s="760" t="s">
        <v>2970</v>
      </c>
      <c r="C366" s="751"/>
      <c r="D366" s="752"/>
      <c r="E366" s="753" t="e">
        <f t="shared" si="30"/>
        <v>#DIV/0!</v>
      </c>
      <c r="F366" s="789">
        <v>5</v>
      </c>
      <c r="G366" s="751"/>
      <c r="H366" s="790">
        <f t="shared" si="31"/>
        <v>0</v>
      </c>
      <c r="I366" s="755">
        <f t="shared" si="33"/>
        <v>5</v>
      </c>
      <c r="J366" s="755">
        <f t="shared" si="33"/>
        <v>0</v>
      </c>
      <c r="K366" s="650">
        <f t="shared" si="32"/>
        <v>0</v>
      </c>
    </row>
    <row r="367" spans="1:11" ht="24.95" customHeight="1">
      <c r="A367" s="759" t="s">
        <v>2971</v>
      </c>
      <c r="B367" s="760" t="s">
        <v>2972</v>
      </c>
      <c r="C367" s="751"/>
      <c r="D367" s="752"/>
      <c r="E367" s="753" t="e">
        <f t="shared" si="30"/>
        <v>#DIV/0!</v>
      </c>
      <c r="F367" s="789">
        <v>2</v>
      </c>
      <c r="G367" s="751"/>
      <c r="H367" s="790">
        <f t="shared" si="31"/>
        <v>0</v>
      </c>
      <c r="I367" s="755">
        <f t="shared" si="33"/>
        <v>2</v>
      </c>
      <c r="J367" s="755">
        <f t="shared" si="33"/>
        <v>0</v>
      </c>
      <c r="K367" s="650">
        <f t="shared" si="32"/>
        <v>0</v>
      </c>
    </row>
    <row r="368" spans="1:11" ht="24.95" customHeight="1">
      <c r="A368" s="759" t="s">
        <v>2643</v>
      </c>
      <c r="B368" s="760" t="s">
        <v>2973</v>
      </c>
      <c r="C368" s="751"/>
      <c r="D368" s="752"/>
      <c r="E368" s="753" t="e">
        <f t="shared" si="30"/>
        <v>#DIV/0!</v>
      </c>
      <c r="F368" s="789">
        <v>30</v>
      </c>
      <c r="G368" s="751">
        <v>2</v>
      </c>
      <c r="H368" s="778">
        <f t="shared" si="31"/>
        <v>6.6666666666666666E-2</v>
      </c>
      <c r="I368" s="755">
        <f t="shared" ref="I368:J393" si="34">+C368+F368</f>
        <v>30</v>
      </c>
      <c r="J368" s="755">
        <f t="shared" si="34"/>
        <v>2</v>
      </c>
      <c r="K368" s="650">
        <f t="shared" si="32"/>
        <v>6.6666666666666666E-2</v>
      </c>
    </row>
    <row r="369" spans="1:11" ht="24.95" customHeight="1">
      <c r="A369" s="759" t="s">
        <v>2974</v>
      </c>
      <c r="B369" s="760" t="s">
        <v>2975</v>
      </c>
      <c r="C369" s="751"/>
      <c r="D369" s="752"/>
      <c r="E369" s="753" t="e">
        <f t="shared" ref="E369:E432" si="35">+D369/C369</f>
        <v>#DIV/0!</v>
      </c>
      <c r="F369" s="789">
        <v>50</v>
      </c>
      <c r="G369" s="751"/>
      <c r="H369" s="778">
        <f t="shared" ref="H369:H432" si="36">+G369/F369</f>
        <v>0</v>
      </c>
      <c r="I369" s="755">
        <f t="shared" si="34"/>
        <v>50</v>
      </c>
      <c r="J369" s="755">
        <f t="shared" si="34"/>
        <v>0</v>
      </c>
      <c r="K369" s="650">
        <f t="shared" ref="K369:K394" si="37">+J369/I369</f>
        <v>0</v>
      </c>
    </row>
    <row r="370" spans="1:11" ht="24.95" customHeight="1">
      <c r="A370" s="759" t="s">
        <v>2976</v>
      </c>
      <c r="B370" s="760" t="s">
        <v>2977</v>
      </c>
      <c r="C370" s="751"/>
      <c r="D370" s="752"/>
      <c r="E370" s="753" t="e">
        <f t="shared" si="35"/>
        <v>#DIV/0!</v>
      </c>
      <c r="F370" s="789">
        <v>4</v>
      </c>
      <c r="G370" s="751"/>
      <c r="H370" s="778">
        <f t="shared" si="36"/>
        <v>0</v>
      </c>
      <c r="I370" s="755">
        <f t="shared" si="34"/>
        <v>4</v>
      </c>
      <c r="J370" s="755">
        <f t="shared" si="34"/>
        <v>0</v>
      </c>
      <c r="K370" s="650">
        <f t="shared" si="37"/>
        <v>0</v>
      </c>
    </row>
    <row r="371" spans="1:11" ht="24.95" customHeight="1">
      <c r="A371" s="759" t="s">
        <v>2645</v>
      </c>
      <c r="B371" s="760" t="s">
        <v>2646</v>
      </c>
      <c r="C371" s="751">
        <v>1</v>
      </c>
      <c r="D371" s="752"/>
      <c r="E371" s="753">
        <f t="shared" si="35"/>
        <v>0</v>
      </c>
      <c r="F371" s="789">
        <v>350</v>
      </c>
      <c r="G371" s="751">
        <f>84+8</f>
        <v>92</v>
      </c>
      <c r="H371" s="778">
        <f t="shared" si="36"/>
        <v>0.26285714285714284</v>
      </c>
      <c r="I371" s="755">
        <f t="shared" si="34"/>
        <v>351</v>
      </c>
      <c r="J371" s="755">
        <f t="shared" si="34"/>
        <v>92</v>
      </c>
      <c r="K371" s="650">
        <f t="shared" si="37"/>
        <v>0.2621082621082621</v>
      </c>
    </row>
    <row r="372" spans="1:11" ht="24.95" customHeight="1">
      <c r="A372" s="759" t="s">
        <v>2978</v>
      </c>
      <c r="B372" s="760" t="s">
        <v>2979</v>
      </c>
      <c r="C372" s="751"/>
      <c r="D372" s="752"/>
      <c r="E372" s="753" t="e">
        <f t="shared" si="35"/>
        <v>#DIV/0!</v>
      </c>
      <c r="F372" s="789">
        <v>1</v>
      </c>
      <c r="G372" s="751">
        <v>1</v>
      </c>
      <c r="H372" s="778">
        <f t="shared" si="36"/>
        <v>1</v>
      </c>
      <c r="I372" s="755">
        <f t="shared" si="34"/>
        <v>1</v>
      </c>
      <c r="J372" s="755">
        <f t="shared" si="34"/>
        <v>1</v>
      </c>
      <c r="K372" s="650">
        <f t="shared" si="37"/>
        <v>1</v>
      </c>
    </row>
    <row r="373" spans="1:11" ht="24.95" customHeight="1">
      <c r="A373" s="759" t="s">
        <v>2980</v>
      </c>
      <c r="B373" s="760" t="s">
        <v>2981</v>
      </c>
      <c r="C373" s="751"/>
      <c r="D373" s="752"/>
      <c r="E373" s="753" t="e">
        <f t="shared" si="35"/>
        <v>#DIV/0!</v>
      </c>
      <c r="F373" s="789">
        <v>2</v>
      </c>
      <c r="G373" s="751"/>
      <c r="H373" s="778">
        <f t="shared" si="36"/>
        <v>0</v>
      </c>
      <c r="I373" s="755">
        <f t="shared" si="34"/>
        <v>2</v>
      </c>
      <c r="J373" s="755">
        <f t="shared" si="34"/>
        <v>0</v>
      </c>
      <c r="K373" s="650">
        <f t="shared" si="37"/>
        <v>0</v>
      </c>
    </row>
    <row r="374" spans="1:11" ht="24.95" customHeight="1">
      <c r="A374" s="759" t="s">
        <v>2982</v>
      </c>
      <c r="B374" s="760" t="s">
        <v>2983</v>
      </c>
      <c r="C374" s="751"/>
      <c r="D374" s="752"/>
      <c r="E374" s="753" t="e">
        <f t="shared" si="35"/>
        <v>#DIV/0!</v>
      </c>
      <c r="F374" s="789">
        <v>3</v>
      </c>
      <c r="G374" s="751"/>
      <c r="H374" s="778">
        <f t="shared" si="36"/>
        <v>0</v>
      </c>
      <c r="I374" s="755">
        <f t="shared" si="34"/>
        <v>3</v>
      </c>
      <c r="J374" s="755">
        <f t="shared" si="34"/>
        <v>0</v>
      </c>
      <c r="K374" s="650">
        <f t="shared" si="37"/>
        <v>0</v>
      </c>
    </row>
    <row r="375" spans="1:11" ht="24.95" customHeight="1">
      <c r="A375" s="759" t="s">
        <v>2984</v>
      </c>
      <c r="B375" s="760" t="s">
        <v>2985</v>
      </c>
      <c r="C375" s="751"/>
      <c r="D375" s="752"/>
      <c r="E375" s="753" t="e">
        <f t="shared" si="35"/>
        <v>#DIV/0!</v>
      </c>
      <c r="F375" s="789">
        <v>3</v>
      </c>
      <c r="G375" s="751"/>
      <c r="H375" s="778">
        <f t="shared" si="36"/>
        <v>0</v>
      </c>
      <c r="I375" s="755">
        <f t="shared" si="34"/>
        <v>3</v>
      </c>
      <c r="J375" s="755">
        <f t="shared" si="34"/>
        <v>0</v>
      </c>
      <c r="K375" s="650">
        <f t="shared" si="37"/>
        <v>0</v>
      </c>
    </row>
    <row r="376" spans="1:11" ht="24.95" customHeight="1">
      <c r="A376" s="759" t="s">
        <v>2986</v>
      </c>
      <c r="B376" s="760" t="s">
        <v>2987</v>
      </c>
      <c r="C376" s="751"/>
      <c r="D376" s="752"/>
      <c r="E376" s="753" t="e">
        <f t="shared" si="35"/>
        <v>#DIV/0!</v>
      </c>
      <c r="F376" s="789">
        <v>15</v>
      </c>
      <c r="G376" s="751">
        <v>8</v>
      </c>
      <c r="H376" s="778">
        <f t="shared" si="36"/>
        <v>0.53333333333333333</v>
      </c>
      <c r="I376" s="755">
        <f t="shared" si="34"/>
        <v>15</v>
      </c>
      <c r="J376" s="755">
        <f t="shared" si="34"/>
        <v>8</v>
      </c>
      <c r="K376" s="650">
        <f t="shared" si="37"/>
        <v>0.53333333333333333</v>
      </c>
    </row>
    <row r="377" spans="1:11" ht="24.95" customHeight="1">
      <c r="A377" s="759" t="s">
        <v>2988</v>
      </c>
      <c r="B377" s="760" t="s">
        <v>2989</v>
      </c>
      <c r="C377" s="751"/>
      <c r="D377" s="752"/>
      <c r="E377" s="753" t="e">
        <f t="shared" si="35"/>
        <v>#DIV/0!</v>
      </c>
      <c r="F377" s="789">
        <v>2</v>
      </c>
      <c r="G377" s="751">
        <v>2</v>
      </c>
      <c r="H377" s="778">
        <f t="shared" si="36"/>
        <v>1</v>
      </c>
      <c r="I377" s="755">
        <f t="shared" si="34"/>
        <v>2</v>
      </c>
      <c r="J377" s="755">
        <f t="shared" si="34"/>
        <v>2</v>
      </c>
      <c r="K377" s="650">
        <f t="shared" si="37"/>
        <v>1</v>
      </c>
    </row>
    <row r="378" spans="1:11" ht="24.95" customHeight="1">
      <c r="A378" s="759" t="s">
        <v>2990</v>
      </c>
      <c r="B378" s="760" t="s">
        <v>2991</v>
      </c>
      <c r="C378" s="751"/>
      <c r="D378" s="752"/>
      <c r="E378" s="753" t="e">
        <f t="shared" si="35"/>
        <v>#DIV/0!</v>
      </c>
      <c r="F378" s="789">
        <v>1</v>
      </c>
      <c r="G378" s="751"/>
      <c r="H378" s="778">
        <f t="shared" si="36"/>
        <v>0</v>
      </c>
      <c r="I378" s="755">
        <f t="shared" si="34"/>
        <v>1</v>
      </c>
      <c r="J378" s="755">
        <f t="shared" si="34"/>
        <v>0</v>
      </c>
      <c r="K378" s="650">
        <f t="shared" si="37"/>
        <v>0</v>
      </c>
    </row>
    <row r="379" spans="1:11" ht="24.95" customHeight="1">
      <c r="A379" s="759" t="s">
        <v>2992</v>
      </c>
      <c r="B379" s="760" t="s">
        <v>2993</v>
      </c>
      <c r="C379" s="751"/>
      <c r="D379" s="752"/>
      <c r="E379" s="753" t="e">
        <f t="shared" si="35"/>
        <v>#DIV/0!</v>
      </c>
      <c r="F379" s="789">
        <v>2</v>
      </c>
      <c r="G379" s="751">
        <v>1</v>
      </c>
      <c r="H379" s="778">
        <f t="shared" si="36"/>
        <v>0.5</v>
      </c>
      <c r="I379" s="755">
        <f t="shared" si="34"/>
        <v>2</v>
      </c>
      <c r="J379" s="755">
        <f t="shared" si="34"/>
        <v>1</v>
      </c>
      <c r="K379" s="650">
        <f t="shared" si="37"/>
        <v>0.5</v>
      </c>
    </row>
    <row r="380" spans="1:11" ht="24.95" customHeight="1">
      <c r="A380" s="759" t="s">
        <v>2994</v>
      </c>
      <c r="B380" s="760" t="s">
        <v>2995</v>
      </c>
      <c r="C380" s="751"/>
      <c r="D380" s="752"/>
      <c r="E380" s="753" t="e">
        <f t="shared" si="35"/>
        <v>#DIV/0!</v>
      </c>
      <c r="F380" s="789">
        <v>2</v>
      </c>
      <c r="G380" s="751"/>
      <c r="H380" s="790">
        <f t="shared" si="36"/>
        <v>0</v>
      </c>
      <c r="I380" s="755">
        <f t="shared" si="34"/>
        <v>2</v>
      </c>
      <c r="J380" s="809">
        <f t="shared" si="34"/>
        <v>0</v>
      </c>
      <c r="K380" s="650">
        <f t="shared" si="37"/>
        <v>0</v>
      </c>
    </row>
    <row r="381" spans="1:11" ht="24.95" customHeight="1">
      <c r="A381" s="759" t="s">
        <v>2996</v>
      </c>
      <c r="B381" s="760" t="s">
        <v>2997</v>
      </c>
      <c r="C381" s="751"/>
      <c r="D381" s="752"/>
      <c r="E381" s="753" t="e">
        <f t="shared" si="35"/>
        <v>#DIV/0!</v>
      </c>
      <c r="F381" s="789">
        <v>2</v>
      </c>
      <c r="G381" s="751"/>
      <c r="H381" s="790">
        <f t="shared" si="36"/>
        <v>0</v>
      </c>
      <c r="I381" s="755">
        <f t="shared" si="34"/>
        <v>2</v>
      </c>
      <c r="J381" s="809">
        <f t="shared" si="34"/>
        <v>0</v>
      </c>
      <c r="K381" s="650">
        <f t="shared" si="37"/>
        <v>0</v>
      </c>
    </row>
    <row r="382" spans="1:11" ht="24.95" customHeight="1">
      <c r="A382" s="759" t="s">
        <v>2707</v>
      </c>
      <c r="B382" s="760" t="s">
        <v>2998</v>
      </c>
      <c r="C382" s="751"/>
      <c r="D382" s="752"/>
      <c r="E382" s="753" t="e">
        <f t="shared" si="35"/>
        <v>#DIV/0!</v>
      </c>
      <c r="F382" s="789">
        <v>3</v>
      </c>
      <c r="G382" s="751">
        <v>4</v>
      </c>
      <c r="H382" s="790">
        <f t="shared" si="36"/>
        <v>1.3333333333333333</v>
      </c>
      <c r="I382" s="755">
        <f t="shared" si="34"/>
        <v>3</v>
      </c>
      <c r="J382" s="809">
        <f t="shared" si="34"/>
        <v>4</v>
      </c>
      <c r="K382" s="650">
        <f t="shared" si="37"/>
        <v>1.3333333333333333</v>
      </c>
    </row>
    <row r="383" spans="1:11" ht="24.95" customHeight="1">
      <c r="A383" s="759" t="s">
        <v>2727</v>
      </c>
      <c r="B383" s="760" t="s">
        <v>2999</v>
      </c>
      <c r="C383" s="751"/>
      <c r="D383" s="752"/>
      <c r="E383" s="753" t="e">
        <f t="shared" si="35"/>
        <v>#DIV/0!</v>
      </c>
      <c r="F383" s="789"/>
      <c r="G383" s="751"/>
      <c r="H383" s="790" t="e">
        <f t="shared" si="36"/>
        <v>#DIV/0!</v>
      </c>
      <c r="I383" s="755">
        <f t="shared" si="34"/>
        <v>0</v>
      </c>
      <c r="J383" s="809">
        <f t="shared" si="34"/>
        <v>0</v>
      </c>
      <c r="K383" s="650" t="e">
        <f t="shared" si="37"/>
        <v>#DIV/0!</v>
      </c>
    </row>
    <row r="384" spans="1:11" ht="24.95" customHeight="1">
      <c r="A384" s="759" t="s">
        <v>3000</v>
      </c>
      <c r="B384" s="760" t="s">
        <v>3001</v>
      </c>
      <c r="C384" s="751"/>
      <c r="D384" s="752"/>
      <c r="E384" s="753" t="e">
        <f t="shared" si="35"/>
        <v>#DIV/0!</v>
      </c>
      <c r="F384" s="789">
        <v>5</v>
      </c>
      <c r="G384" s="751">
        <v>1</v>
      </c>
      <c r="H384" s="790">
        <f t="shared" si="36"/>
        <v>0.2</v>
      </c>
      <c r="I384" s="755">
        <f t="shared" si="34"/>
        <v>5</v>
      </c>
      <c r="J384" s="809">
        <f t="shared" si="34"/>
        <v>1</v>
      </c>
      <c r="K384" s="650">
        <f t="shared" si="37"/>
        <v>0.2</v>
      </c>
    </row>
    <row r="385" spans="1:11" ht="24.95" customHeight="1">
      <c r="A385" s="730">
        <v>600349</v>
      </c>
      <c r="B385" s="757" t="s">
        <v>3002</v>
      </c>
      <c r="C385" s="751"/>
      <c r="D385" s="752"/>
      <c r="E385" s="753" t="e">
        <f t="shared" si="35"/>
        <v>#DIV/0!</v>
      </c>
      <c r="F385" s="789">
        <v>0</v>
      </c>
      <c r="G385" s="751"/>
      <c r="H385" s="790" t="e">
        <f t="shared" si="36"/>
        <v>#DIV/0!</v>
      </c>
      <c r="I385" s="755">
        <f t="shared" si="34"/>
        <v>0</v>
      </c>
      <c r="J385" s="809">
        <f t="shared" si="34"/>
        <v>0</v>
      </c>
      <c r="K385" s="650" t="e">
        <f t="shared" si="37"/>
        <v>#DIV/0!</v>
      </c>
    </row>
    <row r="386" spans="1:11" ht="24.95" customHeight="1">
      <c r="A386" s="456" t="s">
        <v>2615</v>
      </c>
      <c r="B386" s="452" t="s">
        <v>3003</v>
      </c>
      <c r="C386" s="751"/>
      <c r="D386" s="752"/>
      <c r="E386" s="753" t="e">
        <f t="shared" si="35"/>
        <v>#DIV/0!</v>
      </c>
      <c r="F386" s="789">
        <v>12000</v>
      </c>
      <c r="G386" s="751">
        <v>1716</v>
      </c>
      <c r="H386" s="790">
        <f t="shared" si="36"/>
        <v>0.14299999999999999</v>
      </c>
      <c r="I386" s="755">
        <f t="shared" si="34"/>
        <v>12000</v>
      </c>
      <c r="J386" s="809">
        <f t="shared" si="34"/>
        <v>1716</v>
      </c>
      <c r="K386" s="650">
        <f t="shared" si="37"/>
        <v>0.14299999999999999</v>
      </c>
    </row>
    <row r="387" spans="1:11" ht="24.95" customHeight="1">
      <c r="A387" s="759" t="s">
        <v>2667</v>
      </c>
      <c r="B387" s="760" t="s">
        <v>3004</v>
      </c>
      <c r="C387" s="751"/>
      <c r="D387" s="752"/>
      <c r="E387" s="753" t="e">
        <f t="shared" si="35"/>
        <v>#DIV/0!</v>
      </c>
      <c r="F387" s="789">
        <v>370</v>
      </c>
      <c r="G387" s="751">
        <v>92</v>
      </c>
      <c r="H387" s="790">
        <f t="shared" si="36"/>
        <v>0.24864864864864866</v>
      </c>
      <c r="I387" s="755">
        <f t="shared" si="34"/>
        <v>370</v>
      </c>
      <c r="J387" s="809">
        <f t="shared" si="34"/>
        <v>92</v>
      </c>
      <c r="K387" s="650">
        <f t="shared" si="37"/>
        <v>0.24864864864864866</v>
      </c>
    </row>
    <row r="388" spans="1:11" ht="24.95" customHeight="1">
      <c r="A388" s="759" t="s">
        <v>2669</v>
      </c>
      <c r="B388" s="760" t="s">
        <v>3005</v>
      </c>
      <c r="C388" s="752"/>
      <c r="D388" s="752"/>
      <c r="E388" s="753" t="e">
        <f t="shared" si="35"/>
        <v>#DIV/0!</v>
      </c>
      <c r="F388" s="789">
        <v>5</v>
      </c>
      <c r="G388" s="751">
        <v>2</v>
      </c>
      <c r="H388" s="790">
        <f t="shared" si="36"/>
        <v>0.4</v>
      </c>
      <c r="I388" s="755">
        <f t="shared" si="34"/>
        <v>5</v>
      </c>
      <c r="J388" s="809">
        <f t="shared" si="34"/>
        <v>2</v>
      </c>
      <c r="K388" s="650">
        <f t="shared" si="37"/>
        <v>0.4</v>
      </c>
    </row>
    <row r="389" spans="1:11" ht="24.95" customHeight="1">
      <c r="A389" s="759" t="s">
        <v>3006</v>
      </c>
      <c r="B389" s="760" t="s">
        <v>3007</v>
      </c>
      <c r="C389" s="752"/>
      <c r="D389" s="752"/>
      <c r="E389" s="753" t="e">
        <f t="shared" si="35"/>
        <v>#DIV/0!</v>
      </c>
      <c r="F389" s="789">
        <v>1</v>
      </c>
      <c r="G389" s="751"/>
      <c r="H389" s="790">
        <f t="shared" si="36"/>
        <v>0</v>
      </c>
      <c r="I389" s="755">
        <f t="shared" si="34"/>
        <v>1</v>
      </c>
      <c r="J389" s="809">
        <f t="shared" si="34"/>
        <v>0</v>
      </c>
      <c r="K389" s="650">
        <f t="shared" si="37"/>
        <v>0</v>
      </c>
    </row>
    <row r="390" spans="1:11" ht="24.95" customHeight="1">
      <c r="A390" s="759" t="s">
        <v>3008</v>
      </c>
      <c r="B390" s="760" t="s">
        <v>3009</v>
      </c>
      <c r="C390" s="752">
        <v>2</v>
      </c>
      <c r="D390" s="752"/>
      <c r="E390" s="753">
        <f t="shared" si="35"/>
        <v>0</v>
      </c>
      <c r="F390" s="789">
        <v>1</v>
      </c>
      <c r="G390" s="751"/>
      <c r="H390" s="790">
        <f t="shared" si="36"/>
        <v>0</v>
      </c>
      <c r="I390" s="755">
        <f t="shared" si="34"/>
        <v>3</v>
      </c>
      <c r="J390" s="809">
        <f t="shared" si="34"/>
        <v>0</v>
      </c>
      <c r="K390" s="650">
        <f t="shared" si="37"/>
        <v>0</v>
      </c>
    </row>
    <row r="391" spans="1:11" ht="24.95" customHeight="1">
      <c r="A391" s="759" t="s">
        <v>2667</v>
      </c>
      <c r="B391" s="760" t="s">
        <v>3004</v>
      </c>
      <c r="C391" s="752">
        <v>2</v>
      </c>
      <c r="D391" s="752">
        <v>2</v>
      </c>
      <c r="E391" s="753">
        <f t="shared" si="35"/>
        <v>1</v>
      </c>
      <c r="F391" s="789"/>
      <c r="G391" s="751"/>
      <c r="H391" s="790" t="e">
        <f t="shared" si="36"/>
        <v>#DIV/0!</v>
      </c>
      <c r="I391" s="755">
        <f t="shared" si="34"/>
        <v>2</v>
      </c>
      <c r="J391" s="809">
        <f t="shared" si="34"/>
        <v>2</v>
      </c>
      <c r="K391" s="650">
        <f t="shared" si="37"/>
        <v>1</v>
      </c>
    </row>
    <row r="392" spans="1:11" ht="24.95" customHeight="1">
      <c r="A392" s="730" t="s">
        <v>3010</v>
      </c>
      <c r="B392" s="731" t="s">
        <v>3011</v>
      </c>
      <c r="C392" s="751">
        <v>815</v>
      </c>
      <c r="D392" s="751">
        <v>418</v>
      </c>
      <c r="E392" s="753">
        <f t="shared" si="35"/>
        <v>0.51288343558282212</v>
      </c>
      <c r="F392" s="810">
        <v>740</v>
      </c>
      <c r="G392" s="751">
        <v>322</v>
      </c>
      <c r="H392" s="790">
        <f t="shared" si="36"/>
        <v>0.43513513513513513</v>
      </c>
      <c r="I392" s="755">
        <f t="shared" si="34"/>
        <v>1555</v>
      </c>
      <c r="J392" s="809">
        <f t="shared" si="34"/>
        <v>740</v>
      </c>
      <c r="K392" s="650">
        <f t="shared" si="37"/>
        <v>0.47588424437299037</v>
      </c>
    </row>
    <row r="393" spans="1:11" ht="24.95" customHeight="1">
      <c r="A393" s="730" t="s">
        <v>2649</v>
      </c>
      <c r="B393" s="758" t="s">
        <v>2650</v>
      </c>
      <c r="C393" s="751"/>
      <c r="D393" s="752"/>
      <c r="E393" s="753" t="e">
        <f t="shared" si="35"/>
        <v>#DIV/0!</v>
      </c>
      <c r="F393" s="789">
        <v>20</v>
      </c>
      <c r="G393" s="751"/>
      <c r="H393" s="790">
        <f t="shared" si="36"/>
        <v>0</v>
      </c>
      <c r="I393" s="755">
        <f t="shared" si="34"/>
        <v>20</v>
      </c>
      <c r="J393" s="809">
        <f t="shared" si="34"/>
        <v>0</v>
      </c>
      <c r="K393" s="650">
        <f t="shared" si="37"/>
        <v>0</v>
      </c>
    </row>
    <row r="394" spans="1:11" ht="24.95" customHeight="1">
      <c r="A394" s="759"/>
      <c r="B394" s="760" t="s">
        <v>2</v>
      </c>
      <c r="C394" s="751">
        <f t="shared" ref="C394:J394" si="38">SUM(C240:C393)</f>
        <v>4243</v>
      </c>
      <c r="D394" s="751">
        <f t="shared" si="38"/>
        <v>2172</v>
      </c>
      <c r="E394" s="778">
        <f t="shared" si="35"/>
        <v>0.5119019561630922</v>
      </c>
      <c r="F394" s="751">
        <f t="shared" si="38"/>
        <v>53201</v>
      </c>
      <c r="G394" s="751">
        <f t="shared" si="38"/>
        <v>18498</v>
      </c>
      <c r="H394" s="778">
        <f t="shared" si="36"/>
        <v>0.34770023119866167</v>
      </c>
      <c r="I394" s="771">
        <f t="shared" si="38"/>
        <v>57444</v>
      </c>
      <c r="J394" s="771">
        <f t="shared" si="38"/>
        <v>20670</v>
      </c>
      <c r="K394" s="650">
        <f t="shared" si="37"/>
        <v>0.35982870273657824</v>
      </c>
    </row>
    <row r="395" spans="1:11" ht="24.95" customHeight="1">
      <c r="A395" s="785"/>
      <c r="B395" s="786" t="s">
        <v>3012</v>
      </c>
      <c r="C395" s="2218"/>
      <c r="D395" s="2219"/>
      <c r="E395" s="2219"/>
      <c r="F395" s="2219"/>
      <c r="G395" s="2219"/>
      <c r="H395" s="2219"/>
      <c r="I395" s="2219"/>
      <c r="J395" s="2219"/>
      <c r="K395" s="2220"/>
    </row>
    <row r="396" spans="1:11" ht="24.95" customHeight="1">
      <c r="A396" s="730" t="s">
        <v>3013</v>
      </c>
      <c r="B396" s="757" t="s">
        <v>2388</v>
      </c>
      <c r="C396" s="751"/>
      <c r="D396" s="752"/>
      <c r="E396" s="753" t="e">
        <f t="shared" si="35"/>
        <v>#DIV/0!</v>
      </c>
      <c r="F396" s="789">
        <v>130</v>
      </c>
      <c r="G396" s="751">
        <v>59</v>
      </c>
      <c r="H396" s="778">
        <f t="shared" si="36"/>
        <v>0.45384615384615384</v>
      </c>
      <c r="I396" s="755">
        <f t="shared" ref="I396:J427" si="39">+C396+F396</f>
        <v>130</v>
      </c>
      <c r="J396" s="755">
        <f>+D396+G396</f>
        <v>59</v>
      </c>
      <c r="K396" s="650">
        <f>+J396/I396</f>
        <v>0.45384615384615384</v>
      </c>
    </row>
    <row r="397" spans="1:11" ht="24.95" customHeight="1">
      <c r="A397" s="730">
        <v>130207</v>
      </c>
      <c r="B397" s="811" t="s">
        <v>2390</v>
      </c>
      <c r="C397" s="751"/>
      <c r="D397" s="752"/>
      <c r="E397" s="753" t="e">
        <f t="shared" si="35"/>
        <v>#DIV/0!</v>
      </c>
      <c r="F397" s="789">
        <v>790</v>
      </c>
      <c r="G397" s="751">
        <v>434</v>
      </c>
      <c r="H397" s="778">
        <f t="shared" si="36"/>
        <v>0.54936708860759498</v>
      </c>
      <c r="I397" s="755">
        <f t="shared" si="39"/>
        <v>790</v>
      </c>
      <c r="J397" s="755">
        <f t="shared" si="39"/>
        <v>434</v>
      </c>
      <c r="K397" s="650">
        <f t="shared" ref="K397:K460" si="40">+J397/I397</f>
        <v>0.54936708860759498</v>
      </c>
    </row>
    <row r="398" spans="1:11" ht="24.95" customHeight="1">
      <c r="A398" s="730" t="s">
        <v>2393</v>
      </c>
      <c r="B398" s="792" t="s">
        <v>2394</v>
      </c>
      <c r="C398" s="751"/>
      <c r="D398" s="752"/>
      <c r="E398" s="753" t="e">
        <f t="shared" si="35"/>
        <v>#DIV/0!</v>
      </c>
      <c r="F398" s="789">
        <v>9</v>
      </c>
      <c r="G398" s="751">
        <v>4</v>
      </c>
      <c r="H398" s="778">
        <f t="shared" si="36"/>
        <v>0.44444444444444442</v>
      </c>
      <c r="I398" s="755">
        <f t="shared" si="39"/>
        <v>9</v>
      </c>
      <c r="J398" s="755">
        <f t="shared" si="39"/>
        <v>4</v>
      </c>
      <c r="K398" s="650">
        <f t="shared" si="40"/>
        <v>0.44444444444444442</v>
      </c>
    </row>
    <row r="399" spans="1:11" ht="24.95" customHeight="1">
      <c r="A399" s="812" t="s">
        <v>2395</v>
      </c>
      <c r="B399" s="792" t="s">
        <v>2396</v>
      </c>
      <c r="C399" s="751"/>
      <c r="D399" s="752"/>
      <c r="E399" s="753" t="e">
        <f t="shared" si="35"/>
        <v>#DIV/0!</v>
      </c>
      <c r="F399" s="789">
        <v>40</v>
      </c>
      <c r="G399" s="751">
        <v>22</v>
      </c>
      <c r="H399" s="778">
        <f t="shared" si="36"/>
        <v>0.55000000000000004</v>
      </c>
      <c r="I399" s="755">
        <f t="shared" si="39"/>
        <v>40</v>
      </c>
      <c r="J399" s="755">
        <f t="shared" si="39"/>
        <v>22</v>
      </c>
      <c r="K399" s="650">
        <f t="shared" si="40"/>
        <v>0.55000000000000004</v>
      </c>
    </row>
    <row r="400" spans="1:11" ht="24.95" customHeight="1">
      <c r="A400" s="730" t="s">
        <v>2792</v>
      </c>
      <c r="B400" s="757" t="s">
        <v>2402</v>
      </c>
      <c r="C400" s="751"/>
      <c r="D400" s="752"/>
      <c r="E400" s="753" t="e">
        <f t="shared" si="35"/>
        <v>#DIV/0!</v>
      </c>
      <c r="F400" s="789">
        <v>2590</v>
      </c>
      <c r="G400" s="751">
        <v>1218</v>
      </c>
      <c r="H400" s="778">
        <f t="shared" si="36"/>
        <v>0.4702702702702703</v>
      </c>
      <c r="I400" s="755">
        <f t="shared" si="39"/>
        <v>2590</v>
      </c>
      <c r="J400" s="755">
        <f t="shared" si="39"/>
        <v>1218</v>
      </c>
      <c r="K400" s="650">
        <f t="shared" si="40"/>
        <v>0.4702702702702703</v>
      </c>
    </row>
    <row r="401" spans="1:11" ht="24.95" customHeight="1">
      <c r="A401" s="756" t="s">
        <v>3014</v>
      </c>
      <c r="B401" s="757" t="s">
        <v>3015</v>
      </c>
      <c r="C401" s="751"/>
      <c r="D401" s="752"/>
      <c r="E401" s="753" t="e">
        <f t="shared" si="35"/>
        <v>#DIV/0!</v>
      </c>
      <c r="F401" s="789">
        <v>0</v>
      </c>
      <c r="G401" s="751"/>
      <c r="H401" s="778" t="e">
        <f t="shared" si="36"/>
        <v>#DIV/0!</v>
      </c>
      <c r="I401" s="755">
        <f t="shared" si="39"/>
        <v>0</v>
      </c>
      <c r="J401" s="755">
        <f t="shared" si="39"/>
        <v>0</v>
      </c>
      <c r="K401" s="650" t="e">
        <f t="shared" si="40"/>
        <v>#DIV/0!</v>
      </c>
    </row>
    <row r="402" spans="1:11" ht="24.95" customHeight="1">
      <c r="A402" s="756" t="s">
        <v>2794</v>
      </c>
      <c r="B402" s="757" t="s">
        <v>2795</v>
      </c>
      <c r="C402" s="751"/>
      <c r="D402" s="752"/>
      <c r="E402" s="753" t="e">
        <f t="shared" si="35"/>
        <v>#DIV/0!</v>
      </c>
      <c r="F402" s="789">
        <v>5</v>
      </c>
      <c r="G402" s="751">
        <v>2</v>
      </c>
      <c r="H402" s="778">
        <f t="shared" si="36"/>
        <v>0.4</v>
      </c>
      <c r="I402" s="755">
        <f t="shared" si="39"/>
        <v>5</v>
      </c>
      <c r="J402" s="755">
        <f t="shared" si="39"/>
        <v>2</v>
      </c>
      <c r="K402" s="650">
        <f t="shared" si="40"/>
        <v>0.4</v>
      </c>
    </row>
    <row r="403" spans="1:11" ht="24.95" customHeight="1">
      <c r="A403" s="730" t="s">
        <v>2798</v>
      </c>
      <c r="B403" s="792" t="s">
        <v>2799</v>
      </c>
      <c r="C403" s="751">
        <v>165</v>
      </c>
      <c r="D403" s="752">
        <v>37</v>
      </c>
      <c r="E403" s="753">
        <f t="shared" si="35"/>
        <v>0.22424242424242424</v>
      </c>
      <c r="F403" s="789">
        <v>3270</v>
      </c>
      <c r="G403" s="751">
        <v>1477</v>
      </c>
      <c r="H403" s="778">
        <f t="shared" si="36"/>
        <v>0.45168195718654436</v>
      </c>
      <c r="I403" s="755">
        <f t="shared" si="39"/>
        <v>3435</v>
      </c>
      <c r="J403" s="755">
        <f t="shared" si="39"/>
        <v>1514</v>
      </c>
      <c r="K403" s="650">
        <f t="shared" si="40"/>
        <v>0.44075691411935952</v>
      </c>
    </row>
    <row r="404" spans="1:11" ht="24.95" customHeight="1">
      <c r="A404" s="730" t="s">
        <v>2800</v>
      </c>
      <c r="B404" s="792" t="s">
        <v>2678</v>
      </c>
      <c r="C404" s="751"/>
      <c r="D404" s="752"/>
      <c r="E404" s="753" t="e">
        <f t="shared" si="35"/>
        <v>#DIV/0!</v>
      </c>
      <c r="F404" s="789">
        <v>15</v>
      </c>
      <c r="G404" s="751">
        <v>8</v>
      </c>
      <c r="H404" s="778">
        <f t="shared" si="36"/>
        <v>0.53333333333333333</v>
      </c>
      <c r="I404" s="755">
        <f t="shared" si="39"/>
        <v>15</v>
      </c>
      <c r="J404" s="755">
        <f t="shared" si="39"/>
        <v>8</v>
      </c>
      <c r="K404" s="650">
        <f t="shared" si="40"/>
        <v>0.53333333333333333</v>
      </c>
    </row>
    <row r="405" spans="1:11" ht="24.95" customHeight="1">
      <c r="A405" s="730" t="s">
        <v>2801</v>
      </c>
      <c r="B405" s="792" t="s">
        <v>2802</v>
      </c>
      <c r="C405" s="751"/>
      <c r="D405" s="752"/>
      <c r="E405" s="753" t="e">
        <f t="shared" si="35"/>
        <v>#DIV/0!</v>
      </c>
      <c r="F405" s="789">
        <v>30</v>
      </c>
      <c r="G405" s="751">
        <v>22</v>
      </c>
      <c r="H405" s="778">
        <f t="shared" si="36"/>
        <v>0.73333333333333328</v>
      </c>
      <c r="I405" s="755">
        <f t="shared" si="39"/>
        <v>30</v>
      </c>
      <c r="J405" s="755">
        <f t="shared" si="39"/>
        <v>22</v>
      </c>
      <c r="K405" s="650">
        <f t="shared" si="40"/>
        <v>0.73333333333333328</v>
      </c>
    </row>
    <row r="406" spans="1:11" ht="24.95" customHeight="1">
      <c r="A406" s="730" t="s">
        <v>2803</v>
      </c>
      <c r="B406" s="792" t="s">
        <v>2804</v>
      </c>
      <c r="C406" s="751"/>
      <c r="D406" s="752"/>
      <c r="E406" s="753" t="e">
        <f t="shared" si="35"/>
        <v>#DIV/0!</v>
      </c>
      <c r="F406" s="789">
        <v>1</v>
      </c>
      <c r="G406" s="751"/>
      <c r="H406" s="778">
        <f t="shared" si="36"/>
        <v>0</v>
      </c>
      <c r="I406" s="755">
        <f t="shared" si="39"/>
        <v>1</v>
      </c>
      <c r="J406" s="755">
        <f t="shared" si="39"/>
        <v>0</v>
      </c>
      <c r="K406" s="650">
        <f t="shared" si="40"/>
        <v>0</v>
      </c>
    </row>
    <row r="407" spans="1:11" ht="24.95" customHeight="1">
      <c r="A407" s="730" t="s">
        <v>2805</v>
      </c>
      <c r="B407" s="792" t="s">
        <v>2806</v>
      </c>
      <c r="C407" s="751"/>
      <c r="D407" s="752"/>
      <c r="E407" s="753" t="e">
        <f t="shared" si="35"/>
        <v>#DIV/0!</v>
      </c>
      <c r="F407" s="789">
        <v>240</v>
      </c>
      <c r="G407" s="751">
        <v>121</v>
      </c>
      <c r="H407" s="778">
        <f t="shared" si="36"/>
        <v>0.50416666666666665</v>
      </c>
      <c r="I407" s="755">
        <f t="shared" si="39"/>
        <v>240</v>
      </c>
      <c r="J407" s="755">
        <f t="shared" si="39"/>
        <v>121</v>
      </c>
      <c r="K407" s="650">
        <f t="shared" si="40"/>
        <v>0.50416666666666665</v>
      </c>
    </row>
    <row r="408" spans="1:11" ht="24.95" customHeight="1">
      <c r="A408" s="813" t="s">
        <v>3016</v>
      </c>
      <c r="B408" s="811" t="s">
        <v>3017</v>
      </c>
      <c r="C408" s="751"/>
      <c r="D408" s="752"/>
      <c r="E408" s="753" t="e">
        <f t="shared" si="35"/>
        <v>#DIV/0!</v>
      </c>
      <c r="F408" s="789"/>
      <c r="G408" s="751"/>
      <c r="H408" s="778" t="e">
        <f t="shared" si="36"/>
        <v>#DIV/0!</v>
      </c>
      <c r="I408" s="755">
        <f t="shared" si="39"/>
        <v>0</v>
      </c>
      <c r="J408" s="755">
        <f t="shared" si="39"/>
        <v>0</v>
      </c>
      <c r="K408" s="650" t="e">
        <f t="shared" si="40"/>
        <v>#DIV/0!</v>
      </c>
    </row>
    <row r="409" spans="1:11" ht="24.95" customHeight="1">
      <c r="A409" s="813" t="s">
        <v>2808</v>
      </c>
      <c r="B409" s="811" t="s">
        <v>2809</v>
      </c>
      <c r="C409" s="751"/>
      <c r="D409" s="752"/>
      <c r="E409" s="753" t="e">
        <f t="shared" si="35"/>
        <v>#DIV/0!</v>
      </c>
      <c r="F409" s="789">
        <v>20</v>
      </c>
      <c r="G409" s="751"/>
      <c r="H409" s="778">
        <f t="shared" si="36"/>
        <v>0</v>
      </c>
      <c r="I409" s="755">
        <f t="shared" si="39"/>
        <v>20</v>
      </c>
      <c r="J409" s="755">
        <f t="shared" si="39"/>
        <v>0</v>
      </c>
      <c r="K409" s="650">
        <f t="shared" si="40"/>
        <v>0</v>
      </c>
    </row>
    <row r="410" spans="1:11" ht="24.95" customHeight="1">
      <c r="A410" s="813" t="s">
        <v>3018</v>
      </c>
      <c r="B410" s="811" t="s">
        <v>3019</v>
      </c>
      <c r="C410" s="751"/>
      <c r="D410" s="752"/>
      <c r="E410" s="753" t="e">
        <f t="shared" si="35"/>
        <v>#DIV/0!</v>
      </c>
      <c r="F410" s="789">
        <v>2</v>
      </c>
      <c r="G410" s="751"/>
      <c r="H410" s="778">
        <f t="shared" si="36"/>
        <v>0</v>
      </c>
      <c r="I410" s="755">
        <f t="shared" si="39"/>
        <v>2</v>
      </c>
      <c r="J410" s="755">
        <f t="shared" si="39"/>
        <v>0</v>
      </c>
      <c r="K410" s="650">
        <f t="shared" si="40"/>
        <v>0</v>
      </c>
    </row>
    <row r="411" spans="1:11" ht="24.95" customHeight="1">
      <c r="A411" s="813" t="s">
        <v>2810</v>
      </c>
      <c r="B411" s="811" t="s">
        <v>2811</v>
      </c>
      <c r="C411" s="751"/>
      <c r="D411" s="752"/>
      <c r="E411" s="753" t="e">
        <f t="shared" si="35"/>
        <v>#DIV/0!</v>
      </c>
      <c r="F411" s="789">
        <v>12</v>
      </c>
      <c r="G411" s="751"/>
      <c r="H411" s="778">
        <f t="shared" si="36"/>
        <v>0</v>
      </c>
      <c r="I411" s="755">
        <f t="shared" si="39"/>
        <v>12</v>
      </c>
      <c r="J411" s="755">
        <f t="shared" si="39"/>
        <v>0</v>
      </c>
      <c r="K411" s="650">
        <f t="shared" si="40"/>
        <v>0</v>
      </c>
    </row>
    <row r="412" spans="1:11" ht="24.95" customHeight="1">
      <c r="A412" s="813" t="s">
        <v>2812</v>
      </c>
      <c r="B412" s="811" t="s">
        <v>3020</v>
      </c>
      <c r="C412" s="751"/>
      <c r="D412" s="752"/>
      <c r="E412" s="753" t="e">
        <f t="shared" si="35"/>
        <v>#DIV/0!</v>
      </c>
      <c r="F412" s="789">
        <v>6</v>
      </c>
      <c r="G412" s="751"/>
      <c r="H412" s="778">
        <f t="shared" si="36"/>
        <v>0</v>
      </c>
      <c r="I412" s="755">
        <f t="shared" si="39"/>
        <v>6</v>
      </c>
      <c r="J412" s="755">
        <f t="shared" si="39"/>
        <v>0</v>
      </c>
      <c r="K412" s="650">
        <f t="shared" si="40"/>
        <v>0</v>
      </c>
    </row>
    <row r="413" spans="1:11" ht="24.95" customHeight="1">
      <c r="A413" s="730" t="s">
        <v>2423</v>
      </c>
      <c r="B413" s="792" t="s">
        <v>3021</v>
      </c>
      <c r="C413" s="751"/>
      <c r="D413" s="752"/>
      <c r="E413" s="753" t="e">
        <f t="shared" si="35"/>
        <v>#DIV/0!</v>
      </c>
      <c r="F413" s="789">
        <v>400</v>
      </c>
      <c r="G413" s="751">
        <v>198</v>
      </c>
      <c r="H413" s="790">
        <f t="shared" si="36"/>
        <v>0.495</v>
      </c>
      <c r="I413" s="755">
        <f t="shared" si="39"/>
        <v>400</v>
      </c>
      <c r="J413" s="755">
        <f t="shared" si="39"/>
        <v>198</v>
      </c>
      <c r="K413" s="650">
        <f t="shared" si="40"/>
        <v>0.495</v>
      </c>
    </row>
    <row r="414" spans="1:11" ht="24.95" customHeight="1">
      <c r="A414" s="730" t="s">
        <v>3022</v>
      </c>
      <c r="B414" s="757" t="s">
        <v>3023</v>
      </c>
      <c r="C414" s="751"/>
      <c r="D414" s="752"/>
      <c r="E414" s="753" t="e">
        <f t="shared" si="35"/>
        <v>#DIV/0!</v>
      </c>
      <c r="F414" s="789"/>
      <c r="G414" s="751"/>
      <c r="H414" s="778" t="e">
        <f t="shared" si="36"/>
        <v>#DIV/0!</v>
      </c>
      <c r="I414" s="755">
        <f t="shared" si="39"/>
        <v>0</v>
      </c>
      <c r="J414" s="755">
        <f t="shared" si="39"/>
        <v>0</v>
      </c>
      <c r="K414" s="650" t="e">
        <f t="shared" si="40"/>
        <v>#DIV/0!</v>
      </c>
    </row>
    <row r="415" spans="1:11" ht="24.95" customHeight="1">
      <c r="A415" s="730" t="s">
        <v>2681</v>
      </c>
      <c r="B415" s="731" t="s">
        <v>2682</v>
      </c>
      <c r="C415" s="751"/>
      <c r="D415" s="752"/>
      <c r="E415" s="753" t="e">
        <f t="shared" si="35"/>
        <v>#DIV/0!</v>
      </c>
      <c r="F415" s="789">
        <v>2</v>
      </c>
      <c r="G415" s="751">
        <v>7</v>
      </c>
      <c r="H415" s="778">
        <f t="shared" si="36"/>
        <v>3.5</v>
      </c>
      <c r="I415" s="755">
        <f t="shared" si="39"/>
        <v>2</v>
      </c>
      <c r="J415" s="755">
        <f t="shared" si="39"/>
        <v>7</v>
      </c>
      <c r="K415" s="650">
        <f t="shared" si="40"/>
        <v>3.5</v>
      </c>
    </row>
    <row r="416" spans="1:11" ht="24.95" customHeight="1">
      <c r="A416" s="730" t="s">
        <v>2689</v>
      </c>
      <c r="B416" s="731" t="s">
        <v>2690</v>
      </c>
      <c r="C416" s="751"/>
      <c r="D416" s="752"/>
      <c r="E416" s="753" t="e">
        <f t="shared" si="35"/>
        <v>#DIV/0!</v>
      </c>
      <c r="F416" s="789">
        <v>1</v>
      </c>
      <c r="G416" s="751"/>
      <c r="H416" s="778">
        <f t="shared" si="36"/>
        <v>0</v>
      </c>
      <c r="I416" s="755">
        <f t="shared" si="39"/>
        <v>1</v>
      </c>
      <c r="J416" s="755">
        <f t="shared" si="39"/>
        <v>0</v>
      </c>
      <c r="K416" s="650">
        <f t="shared" si="40"/>
        <v>0</v>
      </c>
    </row>
    <row r="417" spans="1:11" ht="24.95" customHeight="1">
      <c r="A417" s="730" t="s">
        <v>2829</v>
      </c>
      <c r="B417" s="757" t="s">
        <v>2830</v>
      </c>
      <c r="C417" s="751">
        <v>3</v>
      </c>
      <c r="D417" s="752">
        <v>1</v>
      </c>
      <c r="E417" s="753">
        <f t="shared" si="35"/>
        <v>0.33333333333333331</v>
      </c>
      <c r="F417" s="789">
        <v>3570</v>
      </c>
      <c r="G417" s="751">
        <v>1371</v>
      </c>
      <c r="H417" s="778">
        <f t="shared" si="36"/>
        <v>0.38403361344537817</v>
      </c>
      <c r="I417" s="755">
        <f t="shared" si="39"/>
        <v>3573</v>
      </c>
      <c r="J417" s="755">
        <f t="shared" si="39"/>
        <v>1372</v>
      </c>
      <c r="K417" s="650">
        <f t="shared" si="40"/>
        <v>0.38399104394066613</v>
      </c>
    </row>
    <row r="418" spans="1:11" ht="24.95" customHeight="1">
      <c r="A418" s="756" t="s">
        <v>2852</v>
      </c>
      <c r="B418" s="757" t="s">
        <v>2853</v>
      </c>
      <c r="C418" s="751"/>
      <c r="D418" s="752"/>
      <c r="E418" s="753" t="e">
        <f t="shared" si="35"/>
        <v>#DIV/0!</v>
      </c>
      <c r="F418" s="789">
        <v>0</v>
      </c>
      <c r="G418" s="751"/>
      <c r="H418" s="778" t="e">
        <f t="shared" si="36"/>
        <v>#DIV/0!</v>
      </c>
      <c r="I418" s="755">
        <f t="shared" si="39"/>
        <v>0</v>
      </c>
      <c r="J418" s="755">
        <f t="shared" si="39"/>
        <v>0</v>
      </c>
      <c r="K418" s="650" t="e">
        <f t="shared" si="40"/>
        <v>#DIV/0!</v>
      </c>
    </row>
    <row r="419" spans="1:11" ht="24.95" customHeight="1">
      <c r="A419" s="730" t="s">
        <v>2711</v>
      </c>
      <c r="B419" s="731" t="s">
        <v>2712</v>
      </c>
      <c r="C419" s="751"/>
      <c r="D419" s="752"/>
      <c r="E419" s="753" t="e">
        <f t="shared" si="35"/>
        <v>#DIV/0!</v>
      </c>
      <c r="F419" s="789">
        <v>4</v>
      </c>
      <c r="G419" s="751">
        <v>1</v>
      </c>
      <c r="H419" s="778">
        <f t="shared" si="36"/>
        <v>0.25</v>
      </c>
      <c r="I419" s="755">
        <f t="shared" si="39"/>
        <v>4</v>
      </c>
      <c r="J419" s="755">
        <f t="shared" si="39"/>
        <v>1</v>
      </c>
      <c r="K419" s="650">
        <f t="shared" si="40"/>
        <v>0.25</v>
      </c>
    </row>
    <row r="420" spans="1:11" ht="24.95" customHeight="1">
      <c r="A420" s="730" t="s">
        <v>2713</v>
      </c>
      <c r="B420" s="731" t="s">
        <v>2714</v>
      </c>
      <c r="C420" s="751"/>
      <c r="D420" s="752"/>
      <c r="E420" s="753" t="e">
        <f t="shared" si="35"/>
        <v>#DIV/0!</v>
      </c>
      <c r="F420" s="789">
        <v>1</v>
      </c>
      <c r="G420" s="751">
        <v>1</v>
      </c>
      <c r="H420" s="778">
        <f t="shared" si="36"/>
        <v>1</v>
      </c>
      <c r="I420" s="755">
        <f t="shared" si="39"/>
        <v>1</v>
      </c>
      <c r="J420" s="755">
        <f t="shared" si="39"/>
        <v>1</v>
      </c>
      <c r="K420" s="650">
        <f t="shared" si="40"/>
        <v>1</v>
      </c>
    </row>
    <row r="421" spans="1:11" ht="24.95" customHeight="1">
      <c r="A421" s="756" t="s">
        <v>3024</v>
      </c>
      <c r="B421" s="757" t="s">
        <v>2752</v>
      </c>
      <c r="C421" s="751"/>
      <c r="D421" s="752"/>
      <c r="E421" s="753" t="e">
        <f t="shared" si="35"/>
        <v>#DIV/0!</v>
      </c>
      <c r="F421" s="789">
        <v>12</v>
      </c>
      <c r="G421" s="751">
        <v>7</v>
      </c>
      <c r="H421" s="778">
        <f t="shared" si="36"/>
        <v>0.58333333333333337</v>
      </c>
      <c r="I421" s="755">
        <f t="shared" si="39"/>
        <v>12</v>
      </c>
      <c r="J421" s="755">
        <f t="shared" si="39"/>
        <v>7</v>
      </c>
      <c r="K421" s="650">
        <f t="shared" si="40"/>
        <v>0.58333333333333337</v>
      </c>
    </row>
    <row r="422" spans="1:11" ht="24.95" customHeight="1">
      <c r="A422" s="756" t="s">
        <v>3025</v>
      </c>
      <c r="B422" s="758" t="s">
        <v>3026</v>
      </c>
      <c r="C422" s="751"/>
      <c r="D422" s="752"/>
      <c r="E422" s="753" t="e">
        <f t="shared" si="35"/>
        <v>#DIV/0!</v>
      </c>
      <c r="F422" s="789">
        <v>1</v>
      </c>
      <c r="G422" s="751"/>
      <c r="H422" s="778">
        <f t="shared" si="36"/>
        <v>0</v>
      </c>
      <c r="I422" s="755">
        <f t="shared" si="39"/>
        <v>1</v>
      </c>
      <c r="J422" s="755">
        <f t="shared" si="39"/>
        <v>0</v>
      </c>
      <c r="K422" s="650">
        <f t="shared" si="40"/>
        <v>0</v>
      </c>
    </row>
    <row r="423" spans="1:11" ht="24.95" customHeight="1">
      <c r="A423" s="730" t="s">
        <v>2741</v>
      </c>
      <c r="B423" s="731" t="s">
        <v>2742</v>
      </c>
      <c r="C423" s="751"/>
      <c r="D423" s="752"/>
      <c r="E423" s="753" t="e">
        <f t="shared" si="35"/>
        <v>#DIV/0!</v>
      </c>
      <c r="F423" s="789">
        <v>1</v>
      </c>
      <c r="G423" s="751"/>
      <c r="H423" s="778">
        <f t="shared" si="36"/>
        <v>0</v>
      </c>
      <c r="I423" s="755">
        <f t="shared" si="39"/>
        <v>1</v>
      </c>
      <c r="J423" s="755">
        <f t="shared" si="39"/>
        <v>0</v>
      </c>
      <c r="K423" s="650">
        <f t="shared" si="40"/>
        <v>0</v>
      </c>
    </row>
    <row r="424" spans="1:11" ht="24.95" customHeight="1">
      <c r="A424" s="730" t="s">
        <v>2429</v>
      </c>
      <c r="B424" s="757" t="s">
        <v>2430</v>
      </c>
      <c r="C424" s="751"/>
      <c r="D424" s="752"/>
      <c r="E424" s="753" t="e">
        <f t="shared" si="35"/>
        <v>#DIV/0!</v>
      </c>
      <c r="F424" s="789">
        <v>180</v>
      </c>
      <c r="G424" s="751">
        <v>112</v>
      </c>
      <c r="H424" s="778">
        <f t="shared" si="36"/>
        <v>0.62222222222222223</v>
      </c>
      <c r="I424" s="755">
        <f t="shared" si="39"/>
        <v>180</v>
      </c>
      <c r="J424" s="755">
        <f t="shared" si="39"/>
        <v>112</v>
      </c>
      <c r="K424" s="650">
        <f t="shared" si="40"/>
        <v>0.62222222222222223</v>
      </c>
    </row>
    <row r="425" spans="1:11" ht="24.95" customHeight="1">
      <c r="A425" s="756" t="s">
        <v>2864</v>
      </c>
      <c r="B425" s="757" t="s">
        <v>2865</v>
      </c>
      <c r="C425" s="751">
        <v>1</v>
      </c>
      <c r="D425" s="752"/>
      <c r="E425" s="753">
        <f t="shared" si="35"/>
        <v>0</v>
      </c>
      <c r="F425" s="789">
        <v>45</v>
      </c>
      <c r="G425" s="751">
        <v>10</v>
      </c>
      <c r="H425" s="778">
        <f t="shared" si="36"/>
        <v>0.22222222222222221</v>
      </c>
      <c r="I425" s="755">
        <f t="shared" si="39"/>
        <v>46</v>
      </c>
      <c r="J425" s="755">
        <f t="shared" si="39"/>
        <v>10</v>
      </c>
      <c r="K425" s="650">
        <f t="shared" si="40"/>
        <v>0.21739130434782608</v>
      </c>
    </row>
    <row r="426" spans="1:11" ht="24.95" customHeight="1">
      <c r="A426" s="730" t="s">
        <v>3010</v>
      </c>
      <c r="B426" s="731" t="s">
        <v>3011</v>
      </c>
      <c r="C426" s="751">
        <v>5</v>
      </c>
      <c r="D426" s="751">
        <v>2</v>
      </c>
      <c r="E426" s="753">
        <f t="shared" si="35"/>
        <v>0.4</v>
      </c>
      <c r="F426" s="810">
        <v>65</v>
      </c>
      <c r="G426" s="751">
        <v>46</v>
      </c>
      <c r="H426" s="778">
        <f t="shared" si="36"/>
        <v>0.70769230769230773</v>
      </c>
      <c r="I426" s="755">
        <f t="shared" si="39"/>
        <v>70</v>
      </c>
      <c r="J426" s="755">
        <f t="shared" si="39"/>
        <v>48</v>
      </c>
      <c r="K426" s="650">
        <f t="shared" si="40"/>
        <v>0.68571428571428572</v>
      </c>
    </row>
    <row r="427" spans="1:11" ht="24.95" customHeight="1">
      <c r="A427" s="730" t="s">
        <v>2866</v>
      </c>
      <c r="B427" s="757" t="s">
        <v>2867</v>
      </c>
      <c r="C427" s="751"/>
      <c r="D427" s="752"/>
      <c r="E427" s="753" t="e">
        <f t="shared" si="35"/>
        <v>#DIV/0!</v>
      </c>
      <c r="F427" s="789">
        <v>400</v>
      </c>
      <c r="G427" s="751">
        <v>164</v>
      </c>
      <c r="H427" s="778">
        <f t="shared" si="36"/>
        <v>0.41</v>
      </c>
      <c r="I427" s="755">
        <f t="shared" si="39"/>
        <v>400</v>
      </c>
      <c r="J427" s="755">
        <f t="shared" si="39"/>
        <v>164</v>
      </c>
      <c r="K427" s="650">
        <f t="shared" si="40"/>
        <v>0.41</v>
      </c>
    </row>
    <row r="428" spans="1:11" ht="24.95" customHeight="1">
      <c r="A428" s="798" t="s">
        <v>2868</v>
      </c>
      <c r="B428" s="760" t="s">
        <v>2869</v>
      </c>
      <c r="C428" s="751"/>
      <c r="D428" s="752"/>
      <c r="E428" s="753" t="e">
        <f t="shared" si="35"/>
        <v>#DIV/0!</v>
      </c>
      <c r="F428" s="789">
        <v>25</v>
      </c>
      <c r="G428" s="751">
        <v>27</v>
      </c>
      <c r="H428" s="778">
        <f t="shared" si="36"/>
        <v>1.08</v>
      </c>
      <c r="I428" s="755">
        <f t="shared" ref="I428:J459" si="41">+C428+F428</f>
        <v>25</v>
      </c>
      <c r="J428" s="755">
        <f t="shared" si="41"/>
        <v>27</v>
      </c>
      <c r="K428" s="650">
        <f t="shared" si="40"/>
        <v>1.08</v>
      </c>
    </row>
    <row r="429" spans="1:11" ht="24.95" customHeight="1">
      <c r="A429" s="730" t="s">
        <v>2870</v>
      </c>
      <c r="B429" s="757" t="s">
        <v>2192</v>
      </c>
      <c r="C429" s="751"/>
      <c r="D429" s="752"/>
      <c r="E429" s="753" t="e">
        <f t="shared" si="35"/>
        <v>#DIV/0!</v>
      </c>
      <c r="F429" s="789">
        <v>80</v>
      </c>
      <c r="G429" s="751">
        <v>64</v>
      </c>
      <c r="H429" s="778">
        <f t="shared" si="36"/>
        <v>0.8</v>
      </c>
      <c r="I429" s="755">
        <f t="shared" si="41"/>
        <v>80</v>
      </c>
      <c r="J429" s="755">
        <f t="shared" si="41"/>
        <v>64</v>
      </c>
      <c r="K429" s="650">
        <f t="shared" si="40"/>
        <v>0.8</v>
      </c>
    </row>
    <row r="430" spans="1:11" ht="24.95" customHeight="1">
      <c r="A430" s="730">
        <v>600349</v>
      </c>
      <c r="B430" s="757" t="s">
        <v>3002</v>
      </c>
      <c r="C430" s="751"/>
      <c r="D430" s="752"/>
      <c r="E430" s="753" t="e">
        <f t="shared" si="35"/>
        <v>#DIV/0!</v>
      </c>
      <c r="F430" s="789">
        <v>0</v>
      </c>
      <c r="G430" s="751"/>
      <c r="H430" s="778" t="e">
        <f t="shared" si="36"/>
        <v>#DIV/0!</v>
      </c>
      <c r="I430" s="755">
        <f t="shared" si="41"/>
        <v>0</v>
      </c>
      <c r="J430" s="755">
        <f t="shared" si="41"/>
        <v>0</v>
      </c>
      <c r="K430" s="650" t="e">
        <f t="shared" si="40"/>
        <v>#DIV/0!</v>
      </c>
    </row>
    <row r="431" spans="1:11" ht="24.95" customHeight="1">
      <c r="A431" s="730" t="s">
        <v>2439</v>
      </c>
      <c r="B431" s="757" t="s">
        <v>2440</v>
      </c>
      <c r="C431" s="751">
        <v>1</v>
      </c>
      <c r="D431" s="752"/>
      <c r="E431" s="753">
        <f t="shared" si="35"/>
        <v>0</v>
      </c>
      <c r="F431" s="789">
        <v>1700</v>
      </c>
      <c r="G431" s="751">
        <v>760</v>
      </c>
      <c r="H431" s="778">
        <f t="shared" si="36"/>
        <v>0.44705882352941179</v>
      </c>
      <c r="I431" s="755">
        <f t="shared" si="41"/>
        <v>1701</v>
      </c>
      <c r="J431" s="755">
        <f t="shared" si="41"/>
        <v>760</v>
      </c>
      <c r="K431" s="650">
        <f t="shared" si="40"/>
        <v>0.44679600235155792</v>
      </c>
    </row>
    <row r="432" spans="1:11" ht="24.95" customHeight="1">
      <c r="A432" s="808" t="s">
        <v>2882</v>
      </c>
      <c r="B432" s="760" t="s">
        <v>2883</v>
      </c>
      <c r="C432" s="751"/>
      <c r="D432" s="752"/>
      <c r="E432" s="753" t="e">
        <f t="shared" si="35"/>
        <v>#DIV/0!</v>
      </c>
      <c r="F432" s="789">
        <v>1</v>
      </c>
      <c r="G432" s="751"/>
      <c r="H432" s="778">
        <f t="shared" si="36"/>
        <v>0</v>
      </c>
      <c r="I432" s="755">
        <f t="shared" si="41"/>
        <v>1</v>
      </c>
      <c r="J432" s="755">
        <f t="shared" si="41"/>
        <v>0</v>
      </c>
      <c r="K432" s="650">
        <f t="shared" si="40"/>
        <v>0</v>
      </c>
    </row>
    <row r="433" spans="1:11" ht="24.95" customHeight="1">
      <c r="A433" s="814" t="s">
        <v>3027</v>
      </c>
      <c r="B433" s="815" t="s">
        <v>3028</v>
      </c>
      <c r="C433" s="751"/>
      <c r="D433" s="752"/>
      <c r="E433" s="753" t="e">
        <f t="shared" ref="E433:E477" si="42">+D433/C433</f>
        <v>#DIV/0!</v>
      </c>
      <c r="F433" s="789">
        <v>60</v>
      </c>
      <c r="G433" s="751">
        <f>27+3</f>
        <v>30</v>
      </c>
      <c r="H433" s="778">
        <f t="shared" ref="H433:H477" si="43">+G433/F433</f>
        <v>0.5</v>
      </c>
      <c r="I433" s="755">
        <f t="shared" si="41"/>
        <v>60</v>
      </c>
      <c r="J433" s="755">
        <f t="shared" si="41"/>
        <v>30</v>
      </c>
      <c r="K433" s="650">
        <f t="shared" si="40"/>
        <v>0.5</v>
      </c>
    </row>
    <row r="434" spans="1:11" ht="24.95" customHeight="1">
      <c r="A434" s="814" t="s">
        <v>3029</v>
      </c>
      <c r="B434" s="758" t="s">
        <v>3030</v>
      </c>
      <c r="C434" s="751"/>
      <c r="D434" s="752"/>
      <c r="E434" s="753" t="e">
        <f t="shared" si="42"/>
        <v>#DIV/0!</v>
      </c>
      <c r="F434" s="789">
        <v>155</v>
      </c>
      <c r="G434" s="751">
        <f>20+28</f>
        <v>48</v>
      </c>
      <c r="H434" s="778">
        <f t="shared" si="43"/>
        <v>0.30967741935483872</v>
      </c>
      <c r="I434" s="755">
        <f t="shared" si="41"/>
        <v>155</v>
      </c>
      <c r="J434" s="755">
        <f t="shared" si="41"/>
        <v>48</v>
      </c>
      <c r="K434" s="650">
        <f t="shared" si="40"/>
        <v>0.30967741935483872</v>
      </c>
    </row>
    <row r="435" spans="1:11" ht="24.95" customHeight="1">
      <c r="A435" s="730" t="s">
        <v>3031</v>
      </c>
      <c r="B435" s="731" t="s">
        <v>3032</v>
      </c>
      <c r="C435" s="751"/>
      <c r="D435" s="751"/>
      <c r="E435" s="753" t="e">
        <f t="shared" si="42"/>
        <v>#DIV/0!</v>
      </c>
      <c r="F435" s="810">
        <v>525</v>
      </c>
      <c r="G435" s="751">
        <f>186+27</f>
        <v>213</v>
      </c>
      <c r="H435" s="778">
        <f t="shared" si="43"/>
        <v>0.40571428571428569</v>
      </c>
      <c r="I435" s="755">
        <f t="shared" si="41"/>
        <v>525</v>
      </c>
      <c r="J435" s="755">
        <f t="shared" si="41"/>
        <v>213</v>
      </c>
      <c r="K435" s="650">
        <f t="shared" si="40"/>
        <v>0.40571428571428569</v>
      </c>
    </row>
    <row r="436" spans="1:11" ht="24.95" customHeight="1">
      <c r="A436" s="756" t="s">
        <v>3033</v>
      </c>
      <c r="B436" s="757" t="s">
        <v>3034</v>
      </c>
      <c r="C436" s="751"/>
      <c r="D436" s="752"/>
      <c r="E436" s="753" t="e">
        <f t="shared" si="42"/>
        <v>#DIV/0!</v>
      </c>
      <c r="F436" s="789">
        <v>900</v>
      </c>
      <c r="G436" s="751">
        <f>303+41</f>
        <v>344</v>
      </c>
      <c r="H436" s="778">
        <f t="shared" si="43"/>
        <v>0.38222222222222224</v>
      </c>
      <c r="I436" s="755">
        <f t="shared" si="41"/>
        <v>900</v>
      </c>
      <c r="J436" s="755">
        <f t="shared" si="41"/>
        <v>344</v>
      </c>
      <c r="K436" s="650">
        <f t="shared" si="40"/>
        <v>0.38222222222222224</v>
      </c>
    </row>
    <row r="437" spans="1:11" ht="24.95" customHeight="1">
      <c r="A437" s="730" t="s">
        <v>3035</v>
      </c>
      <c r="B437" s="792" t="s">
        <v>3036</v>
      </c>
      <c r="C437" s="751"/>
      <c r="D437" s="752"/>
      <c r="E437" s="753" t="e">
        <f t="shared" si="42"/>
        <v>#DIV/0!</v>
      </c>
      <c r="F437" s="789">
        <v>1</v>
      </c>
      <c r="G437" s="751">
        <v>4</v>
      </c>
      <c r="H437" s="778">
        <f t="shared" si="43"/>
        <v>4</v>
      </c>
      <c r="I437" s="755">
        <f t="shared" si="41"/>
        <v>1</v>
      </c>
      <c r="J437" s="755">
        <f t="shared" si="41"/>
        <v>4</v>
      </c>
      <c r="K437" s="650">
        <f t="shared" si="40"/>
        <v>4</v>
      </c>
    </row>
    <row r="438" spans="1:11" ht="24.95" customHeight="1">
      <c r="A438" s="730" t="s">
        <v>3037</v>
      </c>
      <c r="B438" s="792" t="s">
        <v>3038</v>
      </c>
      <c r="C438" s="751"/>
      <c r="D438" s="752"/>
      <c r="E438" s="753" t="e">
        <f t="shared" si="42"/>
        <v>#DIV/0!</v>
      </c>
      <c r="F438" s="789">
        <v>2</v>
      </c>
      <c r="G438" s="751">
        <v>2</v>
      </c>
      <c r="H438" s="778">
        <f t="shared" si="43"/>
        <v>1</v>
      </c>
      <c r="I438" s="755">
        <f t="shared" si="41"/>
        <v>2</v>
      </c>
      <c r="J438" s="755">
        <f t="shared" si="41"/>
        <v>2</v>
      </c>
      <c r="K438" s="650">
        <f t="shared" si="40"/>
        <v>1</v>
      </c>
    </row>
    <row r="439" spans="1:11" ht="24.95" customHeight="1">
      <c r="A439" s="816" t="s">
        <v>2884</v>
      </c>
      <c r="B439" s="792" t="s">
        <v>2885</v>
      </c>
      <c r="C439" s="751"/>
      <c r="D439" s="752"/>
      <c r="E439" s="753" t="e">
        <f t="shared" si="42"/>
        <v>#DIV/0!</v>
      </c>
      <c r="F439" s="789">
        <v>720</v>
      </c>
      <c r="G439" s="751">
        <f>253+33</f>
        <v>286</v>
      </c>
      <c r="H439" s="778">
        <f t="shared" si="43"/>
        <v>0.3972222222222222</v>
      </c>
      <c r="I439" s="755">
        <f t="shared" si="41"/>
        <v>720</v>
      </c>
      <c r="J439" s="755">
        <f t="shared" si="41"/>
        <v>286</v>
      </c>
      <c r="K439" s="650">
        <f t="shared" si="40"/>
        <v>0.3972222222222222</v>
      </c>
    </row>
    <row r="440" spans="1:11" ht="24.95" customHeight="1">
      <c r="A440" s="730" t="s">
        <v>2886</v>
      </c>
      <c r="B440" s="792" t="s">
        <v>2887</v>
      </c>
      <c r="C440" s="751"/>
      <c r="D440" s="752"/>
      <c r="E440" s="753" t="e">
        <f t="shared" si="42"/>
        <v>#DIV/0!</v>
      </c>
      <c r="F440" s="789">
        <v>50</v>
      </c>
      <c r="G440" s="751">
        <f>26+3</f>
        <v>29</v>
      </c>
      <c r="H440" s="778">
        <f t="shared" si="43"/>
        <v>0.57999999999999996</v>
      </c>
      <c r="I440" s="755">
        <f t="shared" si="41"/>
        <v>50</v>
      </c>
      <c r="J440" s="755">
        <f t="shared" si="41"/>
        <v>29</v>
      </c>
      <c r="K440" s="650">
        <f t="shared" si="40"/>
        <v>0.57999999999999996</v>
      </c>
    </row>
    <row r="441" spans="1:11" ht="24.95" customHeight="1">
      <c r="A441" s="730" t="s">
        <v>2888</v>
      </c>
      <c r="B441" s="792" t="s">
        <v>2889</v>
      </c>
      <c r="C441" s="751"/>
      <c r="D441" s="752"/>
      <c r="E441" s="753" t="e">
        <f t="shared" si="42"/>
        <v>#DIV/0!</v>
      </c>
      <c r="F441" s="789">
        <v>135</v>
      </c>
      <c r="G441" s="751">
        <f>38+4</f>
        <v>42</v>
      </c>
      <c r="H441" s="778">
        <f t="shared" si="43"/>
        <v>0.31111111111111112</v>
      </c>
      <c r="I441" s="755">
        <f t="shared" si="41"/>
        <v>135</v>
      </c>
      <c r="J441" s="755">
        <f t="shared" si="41"/>
        <v>42</v>
      </c>
      <c r="K441" s="650">
        <f t="shared" si="40"/>
        <v>0.31111111111111112</v>
      </c>
    </row>
    <row r="442" spans="1:11" ht="24.95" customHeight="1">
      <c r="A442" s="730" t="s">
        <v>2890</v>
      </c>
      <c r="B442" s="792" t="s">
        <v>2891</v>
      </c>
      <c r="C442" s="751"/>
      <c r="D442" s="752"/>
      <c r="E442" s="753" t="e">
        <f t="shared" si="42"/>
        <v>#DIV/0!</v>
      </c>
      <c r="F442" s="789">
        <v>20</v>
      </c>
      <c r="G442" s="751">
        <v>5</v>
      </c>
      <c r="H442" s="778">
        <f t="shared" si="43"/>
        <v>0.25</v>
      </c>
      <c r="I442" s="755">
        <f t="shared" si="41"/>
        <v>20</v>
      </c>
      <c r="J442" s="755">
        <f t="shared" si="41"/>
        <v>5</v>
      </c>
      <c r="K442" s="650">
        <f t="shared" si="40"/>
        <v>0.25</v>
      </c>
    </row>
    <row r="443" spans="1:11" ht="24.95" customHeight="1">
      <c r="A443" s="730" t="s">
        <v>2892</v>
      </c>
      <c r="B443" s="792" t="s">
        <v>2893</v>
      </c>
      <c r="C443" s="751"/>
      <c r="D443" s="752"/>
      <c r="E443" s="753" t="e">
        <f t="shared" si="42"/>
        <v>#DIV/0!</v>
      </c>
      <c r="F443" s="789">
        <v>115</v>
      </c>
      <c r="G443" s="751">
        <v>56</v>
      </c>
      <c r="H443" s="778">
        <f t="shared" si="43"/>
        <v>0.48695652173913045</v>
      </c>
      <c r="I443" s="755">
        <f t="shared" si="41"/>
        <v>115</v>
      </c>
      <c r="J443" s="755">
        <f t="shared" si="41"/>
        <v>56</v>
      </c>
      <c r="K443" s="650">
        <f t="shared" si="40"/>
        <v>0.48695652173913045</v>
      </c>
    </row>
    <row r="444" spans="1:11" ht="24.95" customHeight="1">
      <c r="A444" s="761" t="s">
        <v>2896</v>
      </c>
      <c r="B444" s="452" t="s">
        <v>2897</v>
      </c>
      <c r="C444" s="751"/>
      <c r="D444" s="752"/>
      <c r="E444" s="753" t="e">
        <f t="shared" si="42"/>
        <v>#DIV/0!</v>
      </c>
      <c r="F444" s="789">
        <v>0</v>
      </c>
      <c r="G444" s="751"/>
      <c r="H444" s="778" t="e">
        <f t="shared" si="43"/>
        <v>#DIV/0!</v>
      </c>
      <c r="I444" s="755">
        <f t="shared" si="41"/>
        <v>0</v>
      </c>
      <c r="J444" s="755">
        <f t="shared" si="41"/>
        <v>0</v>
      </c>
      <c r="K444" s="650" t="e">
        <f t="shared" si="40"/>
        <v>#DIV/0!</v>
      </c>
    </row>
    <row r="445" spans="1:11" ht="24.95" customHeight="1">
      <c r="A445" s="796" t="s">
        <v>2902</v>
      </c>
      <c r="B445" s="760" t="s">
        <v>2903</v>
      </c>
      <c r="C445" s="751"/>
      <c r="D445" s="752"/>
      <c r="E445" s="753" t="e">
        <f t="shared" si="42"/>
        <v>#DIV/0!</v>
      </c>
      <c r="F445" s="789">
        <v>65</v>
      </c>
      <c r="G445" s="751">
        <v>6</v>
      </c>
      <c r="H445" s="778">
        <f t="shared" si="43"/>
        <v>9.2307692307692313E-2</v>
      </c>
      <c r="I445" s="755">
        <f t="shared" si="41"/>
        <v>65</v>
      </c>
      <c r="J445" s="755">
        <f t="shared" si="41"/>
        <v>6</v>
      </c>
      <c r="K445" s="650">
        <f t="shared" si="40"/>
        <v>9.2307692307692313E-2</v>
      </c>
    </row>
    <row r="446" spans="1:11" ht="24.95" customHeight="1">
      <c r="A446" s="730" t="s">
        <v>3039</v>
      </c>
      <c r="B446" s="757" t="s">
        <v>2456</v>
      </c>
      <c r="C446" s="751"/>
      <c r="D446" s="752"/>
      <c r="E446" s="753" t="e">
        <f t="shared" si="42"/>
        <v>#DIV/0!</v>
      </c>
      <c r="F446" s="789">
        <v>230</v>
      </c>
      <c r="G446" s="751">
        <v>110</v>
      </c>
      <c r="H446" s="778">
        <f t="shared" si="43"/>
        <v>0.47826086956521741</v>
      </c>
      <c r="I446" s="755">
        <f t="shared" si="41"/>
        <v>230</v>
      </c>
      <c r="J446" s="755">
        <f t="shared" si="41"/>
        <v>110</v>
      </c>
      <c r="K446" s="650">
        <f t="shared" si="40"/>
        <v>0.47826086956521741</v>
      </c>
    </row>
    <row r="447" spans="1:11" ht="24.95" customHeight="1">
      <c r="A447" s="730" t="s">
        <v>2469</v>
      </c>
      <c r="B447" s="792" t="s">
        <v>2470</v>
      </c>
      <c r="C447" s="751"/>
      <c r="D447" s="752"/>
      <c r="E447" s="753" t="e">
        <f t="shared" si="42"/>
        <v>#DIV/0!</v>
      </c>
      <c r="F447" s="789">
        <v>30</v>
      </c>
      <c r="G447" s="751">
        <v>4</v>
      </c>
      <c r="H447" s="778">
        <f t="shared" si="43"/>
        <v>0.13333333333333333</v>
      </c>
      <c r="I447" s="755">
        <f t="shared" si="41"/>
        <v>30</v>
      </c>
      <c r="J447" s="755">
        <f t="shared" si="41"/>
        <v>4</v>
      </c>
      <c r="K447" s="650">
        <f t="shared" si="40"/>
        <v>0.13333333333333333</v>
      </c>
    </row>
    <row r="448" spans="1:11" ht="24.95" customHeight="1">
      <c r="A448" s="761" t="s">
        <v>2904</v>
      </c>
      <c r="B448" s="452" t="s">
        <v>2905</v>
      </c>
      <c r="C448" s="751"/>
      <c r="D448" s="752"/>
      <c r="E448" s="753" t="e">
        <f t="shared" si="42"/>
        <v>#DIV/0!</v>
      </c>
      <c r="F448" s="789">
        <v>180</v>
      </c>
      <c r="G448" s="751">
        <v>71</v>
      </c>
      <c r="H448" s="778">
        <f t="shared" si="43"/>
        <v>0.39444444444444443</v>
      </c>
      <c r="I448" s="755">
        <f t="shared" si="41"/>
        <v>180</v>
      </c>
      <c r="J448" s="755">
        <f t="shared" si="41"/>
        <v>71</v>
      </c>
      <c r="K448" s="650">
        <f t="shared" si="40"/>
        <v>0.39444444444444443</v>
      </c>
    </row>
    <row r="449" spans="1:11" ht="24.95" customHeight="1">
      <c r="A449" s="761" t="s">
        <v>2473</v>
      </c>
      <c r="B449" s="792" t="s">
        <v>2474</v>
      </c>
      <c r="C449" s="751"/>
      <c r="D449" s="752"/>
      <c r="E449" s="753" t="e">
        <f t="shared" si="42"/>
        <v>#DIV/0!</v>
      </c>
      <c r="F449" s="789">
        <v>1</v>
      </c>
      <c r="G449" s="751"/>
      <c r="H449" s="778">
        <f t="shared" si="43"/>
        <v>0</v>
      </c>
      <c r="I449" s="755">
        <f t="shared" si="41"/>
        <v>1</v>
      </c>
      <c r="J449" s="755">
        <f t="shared" si="41"/>
        <v>0</v>
      </c>
      <c r="K449" s="650">
        <f t="shared" si="40"/>
        <v>0</v>
      </c>
    </row>
    <row r="450" spans="1:11" ht="24.95" customHeight="1">
      <c r="A450" s="730" t="s">
        <v>2908</v>
      </c>
      <c r="B450" s="757" t="s">
        <v>2476</v>
      </c>
      <c r="C450" s="751">
        <v>1</v>
      </c>
      <c r="D450" s="752"/>
      <c r="E450" s="753">
        <f t="shared" si="42"/>
        <v>0</v>
      </c>
      <c r="F450" s="789">
        <v>840</v>
      </c>
      <c r="G450" s="751">
        <v>365</v>
      </c>
      <c r="H450" s="778">
        <f t="shared" si="43"/>
        <v>0.43452380952380953</v>
      </c>
      <c r="I450" s="755">
        <f t="shared" si="41"/>
        <v>841</v>
      </c>
      <c r="J450" s="755">
        <f t="shared" si="41"/>
        <v>365</v>
      </c>
      <c r="K450" s="650">
        <f t="shared" si="40"/>
        <v>0.43400713436385258</v>
      </c>
    </row>
    <row r="451" spans="1:11" ht="24.95" customHeight="1">
      <c r="A451" s="730" t="s">
        <v>2929</v>
      </c>
      <c r="B451" s="757" t="s">
        <v>2930</v>
      </c>
      <c r="C451" s="751"/>
      <c r="D451" s="752"/>
      <c r="E451" s="753" t="e">
        <f t="shared" si="42"/>
        <v>#DIV/0!</v>
      </c>
      <c r="F451" s="789">
        <v>25</v>
      </c>
      <c r="G451" s="751"/>
      <c r="H451" s="778">
        <f t="shared" si="43"/>
        <v>0</v>
      </c>
      <c r="I451" s="755">
        <f t="shared" si="41"/>
        <v>25</v>
      </c>
      <c r="J451" s="755">
        <f t="shared" si="41"/>
        <v>0</v>
      </c>
      <c r="K451" s="650">
        <f t="shared" si="40"/>
        <v>0</v>
      </c>
    </row>
    <row r="452" spans="1:11" ht="24.95" customHeight="1">
      <c r="A452" s="730" t="s">
        <v>3040</v>
      </c>
      <c r="B452" s="757" t="s">
        <v>2939</v>
      </c>
      <c r="C452" s="751"/>
      <c r="D452" s="752"/>
      <c r="E452" s="753" t="e">
        <f t="shared" si="42"/>
        <v>#DIV/0!</v>
      </c>
      <c r="F452" s="789">
        <v>100</v>
      </c>
      <c r="G452" s="751">
        <v>44</v>
      </c>
      <c r="H452" s="778">
        <f t="shared" si="43"/>
        <v>0.44</v>
      </c>
      <c r="I452" s="755">
        <f t="shared" si="41"/>
        <v>100</v>
      </c>
      <c r="J452" s="755">
        <f t="shared" si="41"/>
        <v>44</v>
      </c>
      <c r="K452" s="650">
        <f t="shared" si="40"/>
        <v>0.44</v>
      </c>
    </row>
    <row r="453" spans="1:11" ht="24.95" customHeight="1">
      <c r="A453" s="730" t="s">
        <v>3041</v>
      </c>
      <c r="B453" s="757" t="s">
        <v>3042</v>
      </c>
      <c r="C453" s="751"/>
      <c r="D453" s="752"/>
      <c r="E453" s="753" t="e">
        <f t="shared" si="42"/>
        <v>#DIV/0!</v>
      </c>
      <c r="F453" s="789">
        <v>1</v>
      </c>
      <c r="G453" s="751"/>
      <c r="H453" s="778">
        <f t="shared" si="43"/>
        <v>0</v>
      </c>
      <c r="I453" s="755">
        <f t="shared" si="41"/>
        <v>1</v>
      </c>
      <c r="J453" s="755">
        <f t="shared" si="41"/>
        <v>0</v>
      </c>
      <c r="K453" s="650">
        <f t="shared" si="40"/>
        <v>0</v>
      </c>
    </row>
    <row r="454" spans="1:11" ht="24.95" customHeight="1">
      <c r="A454" s="730" t="s">
        <v>2548</v>
      </c>
      <c r="B454" s="792" t="s">
        <v>2549</v>
      </c>
      <c r="C454" s="751"/>
      <c r="D454" s="752"/>
      <c r="E454" s="753" t="e">
        <f t="shared" si="42"/>
        <v>#DIV/0!</v>
      </c>
      <c r="F454" s="789">
        <v>0</v>
      </c>
      <c r="G454" s="751"/>
      <c r="H454" s="778" t="e">
        <f t="shared" si="43"/>
        <v>#DIV/0!</v>
      </c>
      <c r="I454" s="755">
        <f t="shared" si="41"/>
        <v>0</v>
      </c>
      <c r="J454" s="755">
        <f t="shared" si="41"/>
        <v>0</v>
      </c>
      <c r="K454" s="650" t="e">
        <f t="shared" si="40"/>
        <v>#DIV/0!</v>
      </c>
    </row>
    <row r="455" spans="1:11" ht="24.95" customHeight="1">
      <c r="A455" s="730" t="s">
        <v>3043</v>
      </c>
      <c r="B455" s="792" t="s">
        <v>2945</v>
      </c>
      <c r="C455" s="751"/>
      <c r="D455" s="752"/>
      <c r="E455" s="753" t="e">
        <f t="shared" si="42"/>
        <v>#DIV/0!</v>
      </c>
      <c r="F455" s="789">
        <v>650</v>
      </c>
      <c r="G455" s="751">
        <v>251</v>
      </c>
      <c r="H455" s="778">
        <f t="shared" si="43"/>
        <v>0.38615384615384618</v>
      </c>
      <c r="I455" s="755">
        <f t="shared" si="41"/>
        <v>650</v>
      </c>
      <c r="J455" s="755">
        <f t="shared" si="41"/>
        <v>251</v>
      </c>
      <c r="K455" s="650">
        <f t="shared" si="40"/>
        <v>0.38615384615384618</v>
      </c>
    </row>
    <row r="456" spans="1:11" ht="24.95" customHeight="1">
      <c r="A456" s="762" t="s">
        <v>2919</v>
      </c>
      <c r="B456" s="452" t="s">
        <v>2920</v>
      </c>
      <c r="C456" s="751"/>
      <c r="D456" s="752"/>
      <c r="E456" s="753" t="e">
        <f t="shared" si="42"/>
        <v>#DIV/0!</v>
      </c>
      <c r="F456" s="789">
        <v>1</v>
      </c>
      <c r="G456" s="751">
        <v>1</v>
      </c>
      <c r="H456" s="778">
        <f t="shared" si="43"/>
        <v>1</v>
      </c>
      <c r="I456" s="755">
        <f t="shared" si="41"/>
        <v>1</v>
      </c>
      <c r="J456" s="755">
        <f t="shared" si="41"/>
        <v>1</v>
      </c>
      <c r="K456" s="650">
        <f t="shared" si="40"/>
        <v>1</v>
      </c>
    </row>
    <row r="457" spans="1:11" ht="24.95" customHeight="1">
      <c r="A457" s="762" t="s">
        <v>1933</v>
      </c>
      <c r="B457" s="452" t="s">
        <v>2948</v>
      </c>
      <c r="C457" s="751"/>
      <c r="D457" s="752"/>
      <c r="E457" s="753" t="e">
        <f t="shared" si="42"/>
        <v>#DIV/0!</v>
      </c>
      <c r="F457" s="789">
        <v>10</v>
      </c>
      <c r="G457" s="751"/>
      <c r="H457" s="778">
        <f t="shared" si="43"/>
        <v>0</v>
      </c>
      <c r="I457" s="755">
        <f t="shared" si="41"/>
        <v>10</v>
      </c>
      <c r="J457" s="755">
        <f t="shared" si="41"/>
        <v>0</v>
      </c>
      <c r="K457" s="650">
        <f t="shared" si="40"/>
        <v>0</v>
      </c>
    </row>
    <row r="458" spans="1:11" ht="24.95" customHeight="1">
      <c r="A458" s="817" t="s">
        <v>3044</v>
      </c>
      <c r="B458" s="788" t="s">
        <v>3045</v>
      </c>
      <c r="C458" s="751"/>
      <c r="D458" s="752"/>
      <c r="E458" s="753" t="e">
        <f t="shared" si="42"/>
        <v>#DIV/0!</v>
      </c>
      <c r="F458" s="789">
        <v>0</v>
      </c>
      <c r="G458" s="751"/>
      <c r="H458" s="778" t="e">
        <f t="shared" si="43"/>
        <v>#DIV/0!</v>
      </c>
      <c r="I458" s="755">
        <f t="shared" si="41"/>
        <v>0</v>
      </c>
      <c r="J458" s="755">
        <f t="shared" si="41"/>
        <v>0</v>
      </c>
      <c r="K458" s="650" t="e">
        <f t="shared" si="40"/>
        <v>#DIV/0!</v>
      </c>
    </row>
    <row r="459" spans="1:11" ht="24.95" customHeight="1">
      <c r="A459" s="787" t="s">
        <v>2176</v>
      </c>
      <c r="B459" s="760" t="s">
        <v>2177</v>
      </c>
      <c r="C459" s="751"/>
      <c r="D459" s="752"/>
      <c r="E459" s="753" t="e">
        <f t="shared" si="42"/>
        <v>#DIV/0!</v>
      </c>
      <c r="F459" s="789">
        <v>5</v>
      </c>
      <c r="G459" s="751">
        <v>2</v>
      </c>
      <c r="H459" s="778">
        <f t="shared" si="43"/>
        <v>0.4</v>
      </c>
      <c r="I459" s="747">
        <f t="shared" si="41"/>
        <v>5</v>
      </c>
      <c r="J459" s="755">
        <f t="shared" si="41"/>
        <v>2</v>
      </c>
      <c r="K459" s="650">
        <f t="shared" si="40"/>
        <v>0.4</v>
      </c>
    </row>
    <row r="460" spans="1:11" ht="24.95" customHeight="1">
      <c r="A460" s="793" t="s">
        <v>3046</v>
      </c>
      <c r="B460" s="757" t="s">
        <v>3047</v>
      </c>
      <c r="C460" s="751"/>
      <c r="D460" s="752"/>
      <c r="E460" s="753" t="e">
        <f t="shared" si="42"/>
        <v>#DIV/0!</v>
      </c>
      <c r="F460" s="789">
        <v>0</v>
      </c>
      <c r="G460" s="751"/>
      <c r="H460" s="778" t="e">
        <f t="shared" si="43"/>
        <v>#DIV/0!</v>
      </c>
      <c r="I460" s="755">
        <f t="shared" ref="I460:J476" si="44">+C460+F460</f>
        <v>0</v>
      </c>
      <c r="J460" s="755">
        <f t="shared" si="44"/>
        <v>0</v>
      </c>
      <c r="K460" s="650" t="e">
        <f t="shared" si="40"/>
        <v>#DIV/0!</v>
      </c>
    </row>
    <row r="461" spans="1:11" ht="24.95" customHeight="1">
      <c r="A461" s="818" t="s">
        <v>2620</v>
      </c>
      <c r="B461" s="757" t="s">
        <v>2621</v>
      </c>
      <c r="C461" s="751"/>
      <c r="D461" s="752"/>
      <c r="E461" s="753" t="e">
        <f t="shared" si="42"/>
        <v>#DIV/0!</v>
      </c>
      <c r="F461" s="789">
        <v>260</v>
      </c>
      <c r="G461" s="751">
        <v>63</v>
      </c>
      <c r="H461" s="778">
        <f t="shared" si="43"/>
        <v>0.24230769230769231</v>
      </c>
      <c r="I461" s="755">
        <f t="shared" si="44"/>
        <v>260</v>
      </c>
      <c r="J461" s="755">
        <f t="shared" si="44"/>
        <v>63</v>
      </c>
      <c r="K461" s="650">
        <f t="shared" ref="K461:K477" si="45">+J461/I461</f>
        <v>0.24230769230769231</v>
      </c>
    </row>
    <row r="462" spans="1:11" ht="24.95" customHeight="1">
      <c r="A462" s="793" t="s">
        <v>2624</v>
      </c>
      <c r="B462" s="757" t="s">
        <v>2330</v>
      </c>
      <c r="C462" s="751"/>
      <c r="D462" s="752"/>
      <c r="E462" s="753" t="e">
        <f t="shared" si="42"/>
        <v>#DIV/0!</v>
      </c>
      <c r="F462" s="789">
        <v>4850</v>
      </c>
      <c r="G462" s="751">
        <v>2416</v>
      </c>
      <c r="H462" s="778">
        <f t="shared" si="43"/>
        <v>0.49814432989690721</v>
      </c>
      <c r="I462" s="755">
        <f t="shared" si="44"/>
        <v>4850</v>
      </c>
      <c r="J462" s="755">
        <f t="shared" si="44"/>
        <v>2416</v>
      </c>
      <c r="K462" s="650">
        <f t="shared" si="45"/>
        <v>0.49814432989690721</v>
      </c>
    </row>
    <row r="463" spans="1:11" ht="24.95" customHeight="1">
      <c r="A463" s="730" t="s">
        <v>2331</v>
      </c>
      <c r="B463" s="757" t="s">
        <v>2332</v>
      </c>
      <c r="C463" s="751"/>
      <c r="D463" s="752"/>
      <c r="E463" s="753" t="e">
        <f t="shared" si="42"/>
        <v>#DIV/0!</v>
      </c>
      <c r="F463" s="789">
        <v>35</v>
      </c>
      <c r="G463" s="751">
        <v>8</v>
      </c>
      <c r="H463" s="778">
        <f t="shared" si="43"/>
        <v>0.22857142857142856</v>
      </c>
      <c r="I463" s="755">
        <f t="shared" si="44"/>
        <v>35</v>
      </c>
      <c r="J463" s="755">
        <f t="shared" si="44"/>
        <v>8</v>
      </c>
      <c r="K463" s="650">
        <f t="shared" si="45"/>
        <v>0.22857142857142856</v>
      </c>
    </row>
    <row r="464" spans="1:11" ht="24.95" customHeight="1">
      <c r="A464" s="759" t="s">
        <v>2627</v>
      </c>
      <c r="B464" s="788" t="s">
        <v>2628</v>
      </c>
      <c r="C464" s="751"/>
      <c r="D464" s="752"/>
      <c r="E464" s="753" t="e">
        <f t="shared" si="42"/>
        <v>#DIV/0!</v>
      </c>
      <c r="F464" s="789">
        <v>1</v>
      </c>
      <c r="G464" s="751"/>
      <c r="H464" s="790">
        <f t="shared" si="43"/>
        <v>0</v>
      </c>
      <c r="I464" s="747">
        <f t="shared" si="44"/>
        <v>1</v>
      </c>
      <c r="J464" s="755">
        <f t="shared" si="44"/>
        <v>0</v>
      </c>
      <c r="K464" s="650">
        <f t="shared" si="45"/>
        <v>0</v>
      </c>
    </row>
    <row r="465" spans="1:11" ht="24.95" customHeight="1">
      <c r="A465" s="793" t="s">
        <v>2629</v>
      </c>
      <c r="B465" s="757" t="s">
        <v>2630</v>
      </c>
      <c r="C465" s="751"/>
      <c r="D465" s="752"/>
      <c r="E465" s="753" t="e">
        <f t="shared" si="42"/>
        <v>#DIV/0!</v>
      </c>
      <c r="F465" s="789">
        <v>1925</v>
      </c>
      <c r="G465" s="751">
        <v>949</v>
      </c>
      <c r="H465" s="790">
        <f t="shared" si="43"/>
        <v>0.49298701298701297</v>
      </c>
      <c r="I465" s="755">
        <f t="shared" si="44"/>
        <v>1925</v>
      </c>
      <c r="J465" s="755">
        <f t="shared" si="44"/>
        <v>949</v>
      </c>
      <c r="K465" s="650">
        <f t="shared" si="45"/>
        <v>0.49298701298701297</v>
      </c>
    </row>
    <row r="466" spans="1:11" ht="24.95" customHeight="1">
      <c r="A466" s="730" t="s">
        <v>2631</v>
      </c>
      <c r="B466" s="757" t="s">
        <v>2632</v>
      </c>
      <c r="C466" s="751"/>
      <c r="D466" s="752"/>
      <c r="E466" s="753" t="e">
        <f t="shared" si="42"/>
        <v>#DIV/0!</v>
      </c>
      <c r="F466" s="789">
        <v>6810</v>
      </c>
      <c r="G466" s="751">
        <v>2365</v>
      </c>
      <c r="H466" s="790">
        <f t="shared" si="43"/>
        <v>0.34728340675477237</v>
      </c>
      <c r="I466" s="755">
        <f t="shared" si="44"/>
        <v>6810</v>
      </c>
      <c r="J466" s="755">
        <f t="shared" si="44"/>
        <v>2365</v>
      </c>
      <c r="K466" s="650">
        <f t="shared" si="45"/>
        <v>0.34728340675477237</v>
      </c>
    </row>
    <row r="467" spans="1:11" ht="24.95" customHeight="1">
      <c r="A467" s="730" t="s">
        <v>2178</v>
      </c>
      <c r="B467" s="757" t="s">
        <v>2179</v>
      </c>
      <c r="C467" s="751"/>
      <c r="D467" s="752"/>
      <c r="E467" s="753" t="e">
        <f t="shared" si="42"/>
        <v>#DIV/0!</v>
      </c>
      <c r="F467" s="789">
        <v>6125</v>
      </c>
      <c r="G467" s="751">
        <v>3029</v>
      </c>
      <c r="H467" s="790">
        <f t="shared" si="43"/>
        <v>0.49453061224489797</v>
      </c>
      <c r="I467" s="755">
        <f t="shared" si="44"/>
        <v>6125</v>
      </c>
      <c r="J467" s="755">
        <f t="shared" si="44"/>
        <v>3029</v>
      </c>
      <c r="K467" s="650">
        <f t="shared" si="45"/>
        <v>0.49453061224489797</v>
      </c>
    </row>
    <row r="468" spans="1:11" ht="24.95" customHeight="1">
      <c r="A468" s="787" t="s">
        <v>2963</v>
      </c>
      <c r="B468" s="760" t="s">
        <v>2964</v>
      </c>
      <c r="C468" s="751"/>
      <c r="D468" s="752"/>
      <c r="E468" s="753" t="e">
        <f t="shared" si="42"/>
        <v>#DIV/0!</v>
      </c>
      <c r="F468" s="789">
        <v>1</v>
      </c>
      <c r="G468" s="751"/>
      <c r="H468" s="790">
        <f t="shared" si="43"/>
        <v>0</v>
      </c>
      <c r="I468" s="747">
        <f t="shared" si="44"/>
        <v>1</v>
      </c>
      <c r="J468" s="755">
        <f t="shared" si="44"/>
        <v>0</v>
      </c>
      <c r="K468" s="650">
        <f t="shared" si="45"/>
        <v>0</v>
      </c>
    </row>
    <row r="469" spans="1:11" ht="24.95" customHeight="1">
      <c r="A469" s="730" t="s">
        <v>2633</v>
      </c>
      <c r="B469" s="757" t="s">
        <v>2965</v>
      </c>
      <c r="C469" s="751"/>
      <c r="D469" s="752"/>
      <c r="E469" s="753" t="e">
        <f t="shared" si="42"/>
        <v>#DIV/0!</v>
      </c>
      <c r="F469" s="789">
        <v>1600</v>
      </c>
      <c r="G469" s="751">
        <v>814</v>
      </c>
      <c r="H469" s="790">
        <f t="shared" si="43"/>
        <v>0.50875000000000004</v>
      </c>
      <c r="I469" s="755">
        <f t="shared" si="44"/>
        <v>1600</v>
      </c>
      <c r="J469" s="755">
        <f t="shared" si="44"/>
        <v>814</v>
      </c>
      <c r="K469" s="650">
        <f t="shared" si="45"/>
        <v>0.50875000000000004</v>
      </c>
    </row>
    <row r="470" spans="1:11" ht="24.95" customHeight="1">
      <c r="A470" s="787" t="s">
        <v>2637</v>
      </c>
      <c r="B470" s="760" t="s">
        <v>2638</v>
      </c>
      <c r="C470" s="751"/>
      <c r="D470" s="752"/>
      <c r="E470" s="753" t="e">
        <f t="shared" si="42"/>
        <v>#DIV/0!</v>
      </c>
      <c r="F470" s="789">
        <v>3</v>
      </c>
      <c r="G470" s="751">
        <v>6</v>
      </c>
      <c r="H470" s="790">
        <f t="shared" si="43"/>
        <v>2</v>
      </c>
      <c r="I470" s="755">
        <f t="shared" si="44"/>
        <v>3</v>
      </c>
      <c r="J470" s="755">
        <f t="shared" si="44"/>
        <v>6</v>
      </c>
      <c r="K470" s="650">
        <f t="shared" si="45"/>
        <v>2</v>
      </c>
    </row>
    <row r="471" spans="1:11" ht="24.95" customHeight="1">
      <c r="A471" s="730" t="s">
        <v>2639</v>
      </c>
      <c r="B471" s="758" t="s">
        <v>3048</v>
      </c>
      <c r="C471" s="751"/>
      <c r="D471" s="752"/>
      <c r="E471" s="753" t="e">
        <f t="shared" si="42"/>
        <v>#DIV/0!</v>
      </c>
      <c r="F471" s="789">
        <v>1</v>
      </c>
      <c r="G471" s="751">
        <v>5</v>
      </c>
      <c r="H471" s="790">
        <f t="shared" si="43"/>
        <v>5</v>
      </c>
      <c r="I471" s="755">
        <f t="shared" si="44"/>
        <v>1</v>
      </c>
      <c r="J471" s="755">
        <f t="shared" si="44"/>
        <v>5</v>
      </c>
      <c r="K471" s="650">
        <f t="shared" si="45"/>
        <v>5</v>
      </c>
    </row>
    <row r="472" spans="1:11" ht="24.95" customHeight="1">
      <c r="A472" s="730" t="s">
        <v>2643</v>
      </c>
      <c r="B472" s="758" t="s">
        <v>2973</v>
      </c>
      <c r="C472" s="751"/>
      <c r="D472" s="752"/>
      <c r="E472" s="753" t="e">
        <f t="shared" si="42"/>
        <v>#DIV/0!</v>
      </c>
      <c r="F472" s="789">
        <v>1520</v>
      </c>
      <c r="G472" s="751">
        <v>653</v>
      </c>
      <c r="H472" s="790">
        <f t="shared" si="43"/>
        <v>0.42960526315789471</v>
      </c>
      <c r="I472" s="755">
        <f t="shared" si="44"/>
        <v>1520</v>
      </c>
      <c r="J472" s="755">
        <f t="shared" si="44"/>
        <v>653</v>
      </c>
      <c r="K472" s="650">
        <f t="shared" si="45"/>
        <v>0.42960526315789471</v>
      </c>
    </row>
    <row r="473" spans="1:11" ht="24.95" customHeight="1">
      <c r="A473" s="730" t="s">
        <v>3049</v>
      </c>
      <c r="B473" s="758" t="s">
        <v>3050</v>
      </c>
      <c r="C473" s="751"/>
      <c r="D473" s="752"/>
      <c r="E473" s="753" t="e">
        <f t="shared" si="42"/>
        <v>#DIV/0!</v>
      </c>
      <c r="F473" s="789">
        <v>15</v>
      </c>
      <c r="G473" s="751">
        <v>4</v>
      </c>
      <c r="H473" s="790">
        <f t="shared" si="43"/>
        <v>0.26666666666666666</v>
      </c>
      <c r="I473" s="755">
        <f t="shared" si="44"/>
        <v>15</v>
      </c>
      <c r="J473" s="755">
        <f t="shared" si="44"/>
        <v>4</v>
      </c>
      <c r="K473" s="650">
        <f t="shared" si="45"/>
        <v>0.26666666666666666</v>
      </c>
    </row>
    <row r="474" spans="1:11" ht="24.95" customHeight="1">
      <c r="A474" s="730" t="s">
        <v>2645</v>
      </c>
      <c r="B474" s="758" t="s">
        <v>2646</v>
      </c>
      <c r="C474" s="751"/>
      <c r="D474" s="752"/>
      <c r="E474" s="753" t="e">
        <f t="shared" si="42"/>
        <v>#DIV/0!</v>
      </c>
      <c r="F474" s="789">
        <v>14350</v>
      </c>
      <c r="G474" s="751">
        <v>5045</v>
      </c>
      <c r="H474" s="790">
        <f t="shared" si="43"/>
        <v>0.35156794425087107</v>
      </c>
      <c r="I474" s="755">
        <f t="shared" si="44"/>
        <v>14350</v>
      </c>
      <c r="J474" s="755">
        <f t="shared" si="44"/>
        <v>5045</v>
      </c>
      <c r="K474" s="650">
        <f t="shared" si="45"/>
        <v>0.35156794425087107</v>
      </c>
    </row>
    <row r="475" spans="1:11" ht="24.95" customHeight="1">
      <c r="A475" s="730" t="s">
        <v>2649</v>
      </c>
      <c r="B475" s="758" t="s">
        <v>2650</v>
      </c>
      <c r="C475" s="751"/>
      <c r="D475" s="752"/>
      <c r="E475" s="753" t="e">
        <f t="shared" si="42"/>
        <v>#DIV/0!</v>
      </c>
      <c r="F475" s="789">
        <v>0</v>
      </c>
      <c r="G475" s="751">
        <v>8</v>
      </c>
      <c r="H475" s="790" t="e">
        <f t="shared" si="43"/>
        <v>#DIV/0!</v>
      </c>
      <c r="I475" s="755">
        <f t="shared" si="44"/>
        <v>0</v>
      </c>
      <c r="J475" s="755">
        <f t="shared" si="44"/>
        <v>8</v>
      </c>
      <c r="K475" s="650" t="e">
        <f t="shared" si="45"/>
        <v>#DIV/0!</v>
      </c>
    </row>
    <row r="476" spans="1:11" ht="24.95" customHeight="1">
      <c r="A476" s="730" t="s">
        <v>2667</v>
      </c>
      <c r="B476" s="758" t="s">
        <v>3004</v>
      </c>
      <c r="C476" s="752"/>
      <c r="D476" s="752"/>
      <c r="E476" s="753" t="e">
        <f t="shared" si="42"/>
        <v>#DIV/0!</v>
      </c>
      <c r="F476" s="789">
        <v>100</v>
      </c>
      <c r="G476" s="751">
        <v>46</v>
      </c>
      <c r="H476" s="790">
        <f t="shared" si="43"/>
        <v>0.46</v>
      </c>
      <c r="I476" s="755">
        <f t="shared" si="44"/>
        <v>100</v>
      </c>
      <c r="J476" s="755">
        <f t="shared" si="44"/>
        <v>46</v>
      </c>
      <c r="K476" s="650">
        <f t="shared" si="45"/>
        <v>0.46</v>
      </c>
    </row>
    <row r="477" spans="1:11" ht="24.95" customHeight="1">
      <c r="A477" s="730"/>
      <c r="B477" s="758" t="s">
        <v>2</v>
      </c>
      <c r="C477" s="752">
        <f t="shared" ref="C477:I477" si="46">SUM(C396:C476)</f>
        <v>176</v>
      </c>
      <c r="D477" s="752">
        <f t="shared" si="46"/>
        <v>40</v>
      </c>
      <c r="E477" s="753">
        <f t="shared" si="42"/>
        <v>0.22727272727272727</v>
      </c>
      <c r="F477" s="789">
        <f t="shared" si="46"/>
        <v>56065</v>
      </c>
      <c r="G477" s="751">
        <f t="shared" si="46"/>
        <v>23459</v>
      </c>
      <c r="H477" s="790">
        <f t="shared" si="43"/>
        <v>0.41842504236154465</v>
      </c>
      <c r="I477" s="771">
        <f t="shared" si="46"/>
        <v>56241</v>
      </c>
      <c r="J477" s="755">
        <f t="shared" ref="J477" si="47">+D477+G477</f>
        <v>23499</v>
      </c>
      <c r="K477" s="650">
        <f t="shared" si="45"/>
        <v>0.4178268522963674</v>
      </c>
    </row>
    <row r="478" spans="1:11" ht="24.95" customHeight="1">
      <c r="A478" s="819"/>
      <c r="B478" s="786" t="s">
        <v>3051</v>
      </c>
      <c r="C478" s="2204"/>
      <c r="D478" s="2205"/>
      <c r="E478" s="2205"/>
      <c r="F478" s="2205"/>
      <c r="G478" s="2205"/>
      <c r="H478" s="2205"/>
      <c r="I478" s="2205"/>
      <c r="J478" s="2205"/>
      <c r="K478" s="2206"/>
    </row>
    <row r="479" spans="1:11" ht="24.95" customHeight="1">
      <c r="A479" s="813" t="s">
        <v>2389</v>
      </c>
      <c r="B479" s="820" t="s">
        <v>2390</v>
      </c>
      <c r="C479" s="751"/>
      <c r="D479" s="752"/>
      <c r="E479" s="753" t="e">
        <f>+D479/C479</f>
        <v>#DIV/0!</v>
      </c>
      <c r="F479" s="789">
        <v>105</v>
      </c>
      <c r="G479" s="751">
        <v>15</v>
      </c>
      <c r="H479" s="778">
        <f>+G479/F479</f>
        <v>0.14285714285714285</v>
      </c>
      <c r="I479" s="821">
        <f t="shared" ref="I479:J510" si="48">+C479+F479</f>
        <v>105</v>
      </c>
      <c r="J479" s="755">
        <f>+D479+G479</f>
        <v>15</v>
      </c>
      <c r="K479" s="650">
        <f>+J479/I479</f>
        <v>0.14285714285714285</v>
      </c>
    </row>
    <row r="480" spans="1:11" ht="24.95" customHeight="1">
      <c r="A480" s="730" t="s">
        <v>3013</v>
      </c>
      <c r="B480" s="757" t="s">
        <v>2388</v>
      </c>
      <c r="C480" s="751"/>
      <c r="D480" s="752"/>
      <c r="E480" s="753" t="e">
        <f t="shared" ref="E480:E543" si="49">+D480/C480</f>
        <v>#DIV/0!</v>
      </c>
      <c r="F480" s="789">
        <v>20</v>
      </c>
      <c r="G480" s="751">
        <v>1</v>
      </c>
      <c r="H480" s="778">
        <f t="shared" ref="H480:H543" si="50">+G480/F480</f>
        <v>0.05</v>
      </c>
      <c r="I480" s="821">
        <f t="shared" si="48"/>
        <v>20</v>
      </c>
      <c r="J480" s="755">
        <f t="shared" si="48"/>
        <v>1</v>
      </c>
      <c r="K480" s="650">
        <f t="shared" ref="K480:K543" si="51">+J480/I480</f>
        <v>0.05</v>
      </c>
    </row>
    <row r="481" spans="1:11" ht="24.95" customHeight="1">
      <c r="A481" s="730" t="s">
        <v>3052</v>
      </c>
      <c r="B481" s="757" t="s">
        <v>3053</v>
      </c>
      <c r="C481" s="751"/>
      <c r="D481" s="752"/>
      <c r="E481" s="753" t="e">
        <f t="shared" si="49"/>
        <v>#DIV/0!</v>
      </c>
      <c r="F481" s="789">
        <v>16</v>
      </c>
      <c r="G481" s="751"/>
      <c r="H481" s="778">
        <f t="shared" si="50"/>
        <v>0</v>
      </c>
      <c r="I481" s="821">
        <f t="shared" si="48"/>
        <v>16</v>
      </c>
      <c r="J481" s="755">
        <f t="shared" si="48"/>
        <v>0</v>
      </c>
      <c r="K481" s="650">
        <f t="shared" si="51"/>
        <v>0</v>
      </c>
    </row>
    <row r="482" spans="1:11" ht="24.95" customHeight="1">
      <c r="A482" s="813" t="s">
        <v>3054</v>
      </c>
      <c r="B482" s="820" t="s">
        <v>3055</v>
      </c>
      <c r="C482" s="751">
        <v>50</v>
      </c>
      <c r="D482" s="752">
        <v>21</v>
      </c>
      <c r="E482" s="753">
        <f t="shared" si="49"/>
        <v>0.42</v>
      </c>
      <c r="F482" s="789">
        <v>1250</v>
      </c>
      <c r="G482" s="751">
        <v>550</v>
      </c>
      <c r="H482" s="778">
        <f t="shared" si="50"/>
        <v>0.44</v>
      </c>
      <c r="I482" s="821">
        <f t="shared" si="48"/>
        <v>1300</v>
      </c>
      <c r="J482" s="755">
        <f t="shared" si="48"/>
        <v>571</v>
      </c>
      <c r="K482" s="650">
        <f t="shared" si="51"/>
        <v>0.43923076923076926</v>
      </c>
    </row>
    <row r="483" spans="1:11" ht="24.95" customHeight="1">
      <c r="A483" s="730" t="s">
        <v>3056</v>
      </c>
      <c r="B483" s="452" t="s">
        <v>3057</v>
      </c>
      <c r="C483" s="751"/>
      <c r="D483" s="752"/>
      <c r="E483" s="753" t="e">
        <f t="shared" si="49"/>
        <v>#DIV/0!</v>
      </c>
      <c r="F483" s="789"/>
      <c r="G483" s="751"/>
      <c r="H483" s="778" t="e">
        <f t="shared" si="50"/>
        <v>#DIV/0!</v>
      </c>
      <c r="I483" s="821">
        <f t="shared" si="48"/>
        <v>0</v>
      </c>
      <c r="J483" s="755">
        <f t="shared" si="48"/>
        <v>0</v>
      </c>
      <c r="K483" s="650" t="e">
        <f t="shared" si="51"/>
        <v>#DIV/0!</v>
      </c>
    </row>
    <row r="484" spans="1:11" ht="24.95" customHeight="1">
      <c r="A484" s="730" t="s">
        <v>3058</v>
      </c>
      <c r="B484" s="452" t="s">
        <v>3059</v>
      </c>
      <c r="C484" s="751"/>
      <c r="D484" s="752"/>
      <c r="E484" s="753" t="e">
        <f t="shared" si="49"/>
        <v>#DIV/0!</v>
      </c>
      <c r="F484" s="789"/>
      <c r="G484" s="751"/>
      <c r="H484" s="778" t="e">
        <f t="shared" si="50"/>
        <v>#DIV/0!</v>
      </c>
      <c r="I484" s="821">
        <f t="shared" si="48"/>
        <v>0</v>
      </c>
      <c r="J484" s="755">
        <f t="shared" si="48"/>
        <v>0</v>
      </c>
      <c r="K484" s="650" t="e">
        <f t="shared" si="51"/>
        <v>#DIV/0!</v>
      </c>
    </row>
    <row r="485" spans="1:11" ht="24.95" customHeight="1">
      <c r="A485" s="730" t="s">
        <v>3060</v>
      </c>
      <c r="B485" s="452" t="s">
        <v>3061</v>
      </c>
      <c r="C485" s="751">
        <v>70</v>
      </c>
      <c r="D485" s="752">
        <v>30</v>
      </c>
      <c r="E485" s="753">
        <f t="shared" si="49"/>
        <v>0.42857142857142855</v>
      </c>
      <c r="F485" s="789">
        <v>4205</v>
      </c>
      <c r="G485" s="751">
        <v>1715</v>
      </c>
      <c r="H485" s="778">
        <f t="shared" si="50"/>
        <v>0.40784780023781214</v>
      </c>
      <c r="I485" s="821">
        <f t="shared" si="48"/>
        <v>4275</v>
      </c>
      <c r="J485" s="755">
        <f t="shared" si="48"/>
        <v>1745</v>
      </c>
      <c r="K485" s="650">
        <f t="shared" si="51"/>
        <v>0.40818713450292399</v>
      </c>
    </row>
    <row r="486" spans="1:11" ht="24.95" customHeight="1">
      <c r="A486" s="730" t="s">
        <v>2395</v>
      </c>
      <c r="B486" s="452" t="s">
        <v>2396</v>
      </c>
      <c r="C486" s="751"/>
      <c r="D486" s="752"/>
      <c r="E486" s="753" t="e">
        <f t="shared" si="49"/>
        <v>#DIV/0!</v>
      </c>
      <c r="F486" s="789">
        <v>2</v>
      </c>
      <c r="G486" s="751"/>
      <c r="H486" s="778">
        <f t="shared" si="50"/>
        <v>0</v>
      </c>
      <c r="I486" s="821">
        <f t="shared" si="48"/>
        <v>2</v>
      </c>
      <c r="J486" s="755">
        <f t="shared" si="48"/>
        <v>0</v>
      </c>
      <c r="K486" s="650">
        <f t="shared" si="51"/>
        <v>0</v>
      </c>
    </row>
    <row r="487" spans="1:11" ht="24.95" customHeight="1">
      <c r="A487" s="730" t="s">
        <v>2792</v>
      </c>
      <c r="B487" s="757" t="s">
        <v>2402</v>
      </c>
      <c r="C487" s="751"/>
      <c r="D487" s="752"/>
      <c r="E487" s="753" t="e">
        <f t="shared" si="49"/>
        <v>#DIV/0!</v>
      </c>
      <c r="F487" s="789">
        <v>0</v>
      </c>
      <c r="G487" s="751"/>
      <c r="H487" s="778" t="e">
        <f t="shared" si="50"/>
        <v>#DIV/0!</v>
      </c>
      <c r="I487" s="821">
        <f t="shared" si="48"/>
        <v>0</v>
      </c>
      <c r="J487" s="755">
        <f t="shared" si="48"/>
        <v>0</v>
      </c>
      <c r="K487" s="650" t="e">
        <f t="shared" si="51"/>
        <v>#DIV/0!</v>
      </c>
    </row>
    <row r="488" spans="1:11" ht="24.95" customHeight="1">
      <c r="A488" s="793" t="s">
        <v>3062</v>
      </c>
      <c r="B488" s="760" t="s">
        <v>3061</v>
      </c>
      <c r="C488" s="751">
        <v>25</v>
      </c>
      <c r="D488" s="752"/>
      <c r="E488" s="753">
        <f t="shared" si="49"/>
        <v>0</v>
      </c>
      <c r="F488" s="789">
        <v>0</v>
      </c>
      <c r="G488" s="751"/>
      <c r="H488" s="778" t="e">
        <f t="shared" si="50"/>
        <v>#DIV/0!</v>
      </c>
      <c r="I488" s="821">
        <f t="shared" si="48"/>
        <v>25</v>
      </c>
      <c r="J488" s="755">
        <f t="shared" si="48"/>
        <v>0</v>
      </c>
      <c r="K488" s="650">
        <f t="shared" si="51"/>
        <v>0</v>
      </c>
    </row>
    <row r="489" spans="1:11" ht="24.95" customHeight="1">
      <c r="A489" s="730" t="s">
        <v>3063</v>
      </c>
      <c r="B489" s="452" t="s">
        <v>3064</v>
      </c>
      <c r="C489" s="751"/>
      <c r="D489" s="752"/>
      <c r="E489" s="753" t="e">
        <f t="shared" si="49"/>
        <v>#DIV/0!</v>
      </c>
      <c r="F489" s="789">
        <v>0</v>
      </c>
      <c r="G489" s="751"/>
      <c r="H489" s="778" t="e">
        <f t="shared" si="50"/>
        <v>#DIV/0!</v>
      </c>
      <c r="I489" s="821">
        <f t="shared" si="48"/>
        <v>0</v>
      </c>
      <c r="J489" s="755">
        <f t="shared" si="48"/>
        <v>0</v>
      </c>
      <c r="K489" s="650" t="e">
        <f t="shared" si="51"/>
        <v>#DIV/0!</v>
      </c>
    </row>
    <row r="490" spans="1:11" ht="24.95" customHeight="1">
      <c r="A490" s="730">
        <v>260092</v>
      </c>
      <c r="B490" s="795" t="s">
        <v>2809</v>
      </c>
      <c r="C490" s="751"/>
      <c r="D490" s="752"/>
      <c r="E490" s="753" t="e">
        <f t="shared" si="49"/>
        <v>#DIV/0!</v>
      </c>
      <c r="F490" s="789">
        <v>10</v>
      </c>
      <c r="G490" s="751"/>
      <c r="H490" s="778">
        <f t="shared" si="50"/>
        <v>0</v>
      </c>
      <c r="I490" s="821">
        <f t="shared" si="48"/>
        <v>10</v>
      </c>
      <c r="J490" s="755">
        <f t="shared" si="48"/>
        <v>0</v>
      </c>
      <c r="K490" s="650">
        <f t="shared" si="51"/>
        <v>0</v>
      </c>
    </row>
    <row r="491" spans="1:11" ht="24.95" customHeight="1">
      <c r="A491" s="756" t="s">
        <v>2423</v>
      </c>
      <c r="B491" s="797" t="s">
        <v>2424</v>
      </c>
      <c r="C491" s="751">
        <v>180</v>
      </c>
      <c r="D491" s="752">
        <v>92</v>
      </c>
      <c r="E491" s="753">
        <f t="shared" si="49"/>
        <v>0.51111111111111107</v>
      </c>
      <c r="F491" s="789">
        <v>8280</v>
      </c>
      <c r="G491" s="751">
        <v>3460</v>
      </c>
      <c r="H491" s="778">
        <f t="shared" si="50"/>
        <v>0.41787439613526572</v>
      </c>
      <c r="I491" s="821">
        <f t="shared" si="48"/>
        <v>8460</v>
      </c>
      <c r="J491" s="755">
        <f t="shared" si="48"/>
        <v>3552</v>
      </c>
      <c r="K491" s="650">
        <f t="shared" si="51"/>
        <v>0.41985815602836879</v>
      </c>
    </row>
    <row r="492" spans="1:11" ht="24.95" customHeight="1">
      <c r="A492" s="730" t="s">
        <v>3065</v>
      </c>
      <c r="B492" s="452" t="s">
        <v>3066</v>
      </c>
      <c r="C492" s="751"/>
      <c r="D492" s="752"/>
      <c r="E492" s="753" t="e">
        <f t="shared" si="49"/>
        <v>#DIV/0!</v>
      </c>
      <c r="F492" s="789">
        <v>3</v>
      </c>
      <c r="G492" s="751"/>
      <c r="H492" s="778">
        <f t="shared" si="50"/>
        <v>0</v>
      </c>
      <c r="I492" s="821">
        <f t="shared" si="48"/>
        <v>3</v>
      </c>
      <c r="J492" s="755">
        <f t="shared" si="48"/>
        <v>0</v>
      </c>
      <c r="K492" s="650">
        <f t="shared" si="51"/>
        <v>0</v>
      </c>
    </row>
    <row r="493" spans="1:11" ht="24.95" customHeight="1">
      <c r="A493" s="730" t="s">
        <v>3067</v>
      </c>
      <c r="B493" s="452" t="s">
        <v>3068</v>
      </c>
      <c r="C493" s="751"/>
      <c r="D493" s="752"/>
      <c r="E493" s="753" t="e">
        <f t="shared" si="49"/>
        <v>#DIV/0!</v>
      </c>
      <c r="F493" s="789">
        <v>0</v>
      </c>
      <c r="G493" s="751"/>
      <c r="H493" s="778" t="e">
        <f t="shared" si="50"/>
        <v>#DIV/0!</v>
      </c>
      <c r="I493" s="821">
        <f t="shared" si="48"/>
        <v>0</v>
      </c>
      <c r="J493" s="755">
        <f t="shared" si="48"/>
        <v>0</v>
      </c>
      <c r="K493" s="650" t="e">
        <f t="shared" si="51"/>
        <v>#DIV/0!</v>
      </c>
    </row>
    <row r="494" spans="1:11" ht="24.95" customHeight="1">
      <c r="A494" s="730">
        <v>310040</v>
      </c>
      <c r="B494" s="452" t="s">
        <v>3069</v>
      </c>
      <c r="C494" s="751"/>
      <c r="D494" s="752"/>
      <c r="E494" s="753" t="e">
        <f t="shared" si="49"/>
        <v>#DIV/0!</v>
      </c>
      <c r="F494" s="789">
        <v>30</v>
      </c>
      <c r="G494" s="751">
        <v>1</v>
      </c>
      <c r="H494" s="778">
        <f t="shared" si="50"/>
        <v>3.3333333333333333E-2</v>
      </c>
      <c r="I494" s="821">
        <f t="shared" si="48"/>
        <v>30</v>
      </c>
      <c r="J494" s="755">
        <f t="shared" si="48"/>
        <v>1</v>
      </c>
      <c r="K494" s="650">
        <f t="shared" si="51"/>
        <v>3.3333333333333333E-2</v>
      </c>
    </row>
    <row r="495" spans="1:11" ht="24.95" customHeight="1">
      <c r="A495" s="730">
        <v>320811</v>
      </c>
      <c r="B495" s="452" t="s">
        <v>3070</v>
      </c>
      <c r="C495" s="751"/>
      <c r="D495" s="752"/>
      <c r="E495" s="753" t="e">
        <f t="shared" si="49"/>
        <v>#DIV/0!</v>
      </c>
      <c r="F495" s="789">
        <v>0</v>
      </c>
      <c r="G495" s="751"/>
      <c r="H495" s="778" t="e">
        <f t="shared" si="50"/>
        <v>#DIV/0!</v>
      </c>
      <c r="I495" s="821">
        <f t="shared" si="48"/>
        <v>0</v>
      </c>
      <c r="J495" s="755">
        <f t="shared" si="48"/>
        <v>0</v>
      </c>
      <c r="K495" s="650" t="e">
        <f t="shared" si="51"/>
        <v>#DIV/0!</v>
      </c>
    </row>
    <row r="496" spans="1:11" ht="24.95" customHeight="1">
      <c r="A496" s="730" t="s">
        <v>2431</v>
      </c>
      <c r="B496" s="452" t="s">
        <v>2432</v>
      </c>
      <c r="C496" s="751"/>
      <c r="D496" s="752"/>
      <c r="E496" s="753" t="e">
        <f t="shared" si="49"/>
        <v>#DIV/0!</v>
      </c>
      <c r="F496" s="789">
        <v>5</v>
      </c>
      <c r="G496" s="751">
        <v>1</v>
      </c>
      <c r="H496" s="778">
        <f t="shared" si="50"/>
        <v>0.2</v>
      </c>
      <c r="I496" s="821">
        <f t="shared" si="48"/>
        <v>5</v>
      </c>
      <c r="J496" s="755">
        <f t="shared" si="48"/>
        <v>1</v>
      </c>
      <c r="K496" s="650">
        <f t="shared" si="51"/>
        <v>0.2</v>
      </c>
    </row>
    <row r="497" spans="1:12" ht="24.95" customHeight="1">
      <c r="A497" s="730" t="s">
        <v>2862</v>
      </c>
      <c r="B497" s="452" t="s">
        <v>2863</v>
      </c>
      <c r="C497" s="751">
        <v>475</v>
      </c>
      <c r="D497" s="752">
        <v>227</v>
      </c>
      <c r="E497" s="753">
        <f t="shared" si="49"/>
        <v>0.47789473684210526</v>
      </c>
      <c r="F497" s="789">
        <v>510</v>
      </c>
      <c r="G497" s="751">
        <v>173</v>
      </c>
      <c r="H497" s="778">
        <f t="shared" si="50"/>
        <v>0.33921568627450982</v>
      </c>
      <c r="I497" s="821">
        <f t="shared" si="48"/>
        <v>985</v>
      </c>
      <c r="J497" s="755">
        <f t="shared" si="48"/>
        <v>400</v>
      </c>
      <c r="K497" s="650">
        <f t="shared" si="51"/>
        <v>0.40609137055837563</v>
      </c>
    </row>
    <row r="498" spans="1:12" ht="24.95" customHeight="1">
      <c r="A498" s="730" t="s">
        <v>2183</v>
      </c>
      <c r="B498" s="760" t="s">
        <v>2184</v>
      </c>
      <c r="C498" s="751"/>
      <c r="D498" s="752"/>
      <c r="E498" s="753" t="e">
        <f t="shared" si="49"/>
        <v>#DIV/0!</v>
      </c>
      <c r="F498" s="789">
        <v>10</v>
      </c>
      <c r="G498" s="751">
        <v>3</v>
      </c>
      <c r="H498" s="778">
        <f t="shared" si="50"/>
        <v>0.3</v>
      </c>
      <c r="I498" s="821">
        <f t="shared" si="48"/>
        <v>10</v>
      </c>
      <c r="J498" s="755">
        <f t="shared" si="48"/>
        <v>3</v>
      </c>
      <c r="K498" s="650">
        <f t="shared" si="51"/>
        <v>0.3</v>
      </c>
    </row>
    <row r="499" spans="1:12" ht="24.95" customHeight="1">
      <c r="A499" s="730" t="s">
        <v>2864</v>
      </c>
      <c r="B499" s="760" t="s">
        <v>2865</v>
      </c>
      <c r="C499" s="751"/>
      <c r="D499" s="752"/>
      <c r="E499" s="753" t="e">
        <f t="shared" si="49"/>
        <v>#DIV/0!</v>
      </c>
      <c r="F499" s="789">
        <v>0</v>
      </c>
      <c r="G499" s="751"/>
      <c r="H499" s="778" t="e">
        <f t="shared" si="50"/>
        <v>#DIV/0!</v>
      </c>
      <c r="I499" s="821">
        <f t="shared" si="48"/>
        <v>0</v>
      </c>
      <c r="J499" s="755">
        <f t="shared" si="48"/>
        <v>0</v>
      </c>
      <c r="K499" s="650" t="e">
        <f t="shared" si="51"/>
        <v>#DIV/0!</v>
      </c>
    </row>
    <row r="500" spans="1:12" ht="24.95" customHeight="1">
      <c r="A500" s="730" t="s">
        <v>3071</v>
      </c>
      <c r="B500" s="452" t="s">
        <v>3072</v>
      </c>
      <c r="C500" s="751">
        <v>7</v>
      </c>
      <c r="D500" s="752"/>
      <c r="E500" s="753">
        <f t="shared" si="49"/>
        <v>0</v>
      </c>
      <c r="F500" s="789">
        <v>6</v>
      </c>
      <c r="G500" s="751">
        <v>1</v>
      </c>
      <c r="H500" s="778">
        <f t="shared" si="50"/>
        <v>0.16666666666666666</v>
      </c>
      <c r="I500" s="821">
        <f t="shared" si="48"/>
        <v>13</v>
      </c>
      <c r="J500" s="755">
        <f t="shared" si="48"/>
        <v>1</v>
      </c>
      <c r="K500" s="650">
        <f t="shared" si="51"/>
        <v>7.6923076923076927E-2</v>
      </c>
    </row>
    <row r="501" spans="1:12" ht="24.95" customHeight="1">
      <c r="A501" s="730">
        <v>600123</v>
      </c>
      <c r="B501" s="452" t="s">
        <v>3073</v>
      </c>
      <c r="C501" s="751"/>
      <c r="D501" s="752"/>
      <c r="E501" s="753" t="e">
        <f t="shared" si="49"/>
        <v>#DIV/0!</v>
      </c>
      <c r="F501" s="789">
        <v>0</v>
      </c>
      <c r="G501" s="751"/>
      <c r="H501" s="778" t="e">
        <f t="shared" si="50"/>
        <v>#DIV/0!</v>
      </c>
      <c r="I501" s="821">
        <f t="shared" si="48"/>
        <v>0</v>
      </c>
      <c r="J501" s="755">
        <f t="shared" si="48"/>
        <v>0</v>
      </c>
      <c r="K501" s="650" t="e">
        <f t="shared" si="51"/>
        <v>#DIV/0!</v>
      </c>
    </row>
    <row r="502" spans="1:12" ht="24.95" customHeight="1">
      <c r="A502" s="730">
        <v>600341</v>
      </c>
      <c r="B502" s="452" t="s">
        <v>3074</v>
      </c>
      <c r="C502" s="751"/>
      <c r="D502" s="752"/>
      <c r="E502" s="753" t="e">
        <f t="shared" si="49"/>
        <v>#DIV/0!</v>
      </c>
      <c r="F502" s="789">
        <v>0</v>
      </c>
      <c r="G502" s="751"/>
      <c r="H502" s="778" t="e">
        <f t="shared" si="50"/>
        <v>#DIV/0!</v>
      </c>
      <c r="I502" s="821">
        <f t="shared" si="48"/>
        <v>0</v>
      </c>
      <c r="J502" s="755">
        <f t="shared" si="48"/>
        <v>0</v>
      </c>
      <c r="K502" s="650" t="e">
        <f t="shared" si="51"/>
        <v>#DIV/0!</v>
      </c>
    </row>
    <row r="503" spans="1:12" ht="24.95" customHeight="1">
      <c r="A503" s="730" t="s">
        <v>3075</v>
      </c>
      <c r="B503" s="822" t="s">
        <v>3076</v>
      </c>
      <c r="C503" s="751"/>
      <c r="D503" s="752"/>
      <c r="E503" s="753" t="e">
        <f t="shared" si="49"/>
        <v>#DIV/0!</v>
      </c>
      <c r="F503" s="789"/>
      <c r="G503" s="751"/>
      <c r="H503" s="778" t="e">
        <f t="shared" si="50"/>
        <v>#DIV/0!</v>
      </c>
      <c r="I503" s="821">
        <f t="shared" si="48"/>
        <v>0</v>
      </c>
      <c r="J503" s="755">
        <f t="shared" si="48"/>
        <v>0</v>
      </c>
      <c r="K503" s="650" t="e">
        <f t="shared" si="51"/>
        <v>#DIV/0!</v>
      </c>
    </row>
    <row r="504" spans="1:12" ht="24.95" customHeight="1">
      <c r="A504" s="730" t="s">
        <v>2435</v>
      </c>
      <c r="B504" s="760" t="s">
        <v>2436</v>
      </c>
      <c r="C504" s="751"/>
      <c r="D504" s="752"/>
      <c r="E504" s="753" t="e">
        <f t="shared" si="49"/>
        <v>#DIV/0!</v>
      </c>
      <c r="F504" s="789">
        <v>535</v>
      </c>
      <c r="G504" s="751">
        <v>226</v>
      </c>
      <c r="H504" s="778">
        <f t="shared" si="50"/>
        <v>0.42242990654205609</v>
      </c>
      <c r="I504" s="821">
        <f t="shared" si="48"/>
        <v>535</v>
      </c>
      <c r="J504" s="755">
        <f t="shared" si="48"/>
        <v>226</v>
      </c>
      <c r="K504" s="650">
        <f t="shared" si="51"/>
        <v>0.42242990654205609</v>
      </c>
    </row>
    <row r="505" spans="1:12" ht="24.95" customHeight="1">
      <c r="A505" s="730" t="s">
        <v>2439</v>
      </c>
      <c r="B505" s="760" t="s">
        <v>2440</v>
      </c>
      <c r="C505" s="751"/>
      <c r="D505" s="752"/>
      <c r="E505" s="753" t="e">
        <f t="shared" si="49"/>
        <v>#DIV/0!</v>
      </c>
      <c r="F505" s="789">
        <v>400</v>
      </c>
      <c r="G505" s="751">
        <v>297</v>
      </c>
      <c r="H505" s="778">
        <f t="shared" si="50"/>
        <v>0.74250000000000005</v>
      </c>
      <c r="I505" s="821">
        <f t="shared" si="48"/>
        <v>400</v>
      </c>
      <c r="J505" s="755">
        <f t="shared" si="48"/>
        <v>297</v>
      </c>
      <c r="K505" s="650">
        <f t="shared" si="51"/>
        <v>0.74250000000000005</v>
      </c>
      <c r="L505" s="823"/>
    </row>
    <row r="506" spans="1:12" ht="24.95" customHeight="1">
      <c r="A506" s="730" t="s">
        <v>3077</v>
      </c>
      <c r="B506" s="452" t="s">
        <v>3078</v>
      </c>
      <c r="C506" s="751"/>
      <c r="D506" s="752"/>
      <c r="E506" s="753" t="e">
        <f t="shared" si="49"/>
        <v>#DIV/0!</v>
      </c>
      <c r="F506" s="789">
        <v>1800</v>
      </c>
      <c r="G506" s="751">
        <v>771</v>
      </c>
      <c r="H506" s="778">
        <f t="shared" si="50"/>
        <v>0.42833333333333334</v>
      </c>
      <c r="I506" s="821">
        <f t="shared" si="48"/>
        <v>1800</v>
      </c>
      <c r="J506" s="755">
        <f t="shared" si="48"/>
        <v>771</v>
      </c>
      <c r="K506" s="650">
        <f t="shared" si="51"/>
        <v>0.42833333333333334</v>
      </c>
    </row>
    <row r="507" spans="1:12" ht="24.95" customHeight="1">
      <c r="A507" s="730" t="s">
        <v>2894</v>
      </c>
      <c r="B507" s="452" t="s">
        <v>2895</v>
      </c>
      <c r="C507" s="751"/>
      <c r="D507" s="752"/>
      <c r="E507" s="753" t="e">
        <f t="shared" si="49"/>
        <v>#DIV/0!</v>
      </c>
      <c r="F507" s="789">
        <v>100</v>
      </c>
      <c r="G507" s="751">
        <v>0</v>
      </c>
      <c r="H507" s="778">
        <f t="shared" si="50"/>
        <v>0</v>
      </c>
      <c r="I507" s="821">
        <f t="shared" si="48"/>
        <v>100</v>
      </c>
      <c r="J507" s="755">
        <f t="shared" si="48"/>
        <v>0</v>
      </c>
      <c r="K507" s="650">
        <f t="shared" si="51"/>
        <v>0</v>
      </c>
    </row>
    <row r="508" spans="1:12" ht="24.95" customHeight="1">
      <c r="A508" s="730" t="s">
        <v>2214</v>
      </c>
      <c r="B508" s="452" t="s">
        <v>3079</v>
      </c>
      <c r="C508" s="751"/>
      <c r="D508" s="752"/>
      <c r="E508" s="753" t="e">
        <f t="shared" si="49"/>
        <v>#DIV/0!</v>
      </c>
      <c r="F508" s="789">
        <v>0</v>
      </c>
      <c r="G508" s="751">
        <v>0</v>
      </c>
      <c r="H508" s="778" t="e">
        <f t="shared" si="50"/>
        <v>#DIV/0!</v>
      </c>
      <c r="I508" s="821">
        <f t="shared" si="48"/>
        <v>0</v>
      </c>
      <c r="J508" s="755">
        <f t="shared" si="48"/>
        <v>0</v>
      </c>
      <c r="K508" s="650" t="e">
        <f t="shared" si="51"/>
        <v>#DIV/0!</v>
      </c>
    </row>
    <row r="509" spans="1:12" ht="24.95" customHeight="1">
      <c r="A509" s="730" t="s">
        <v>3080</v>
      </c>
      <c r="B509" s="452" t="s">
        <v>3081</v>
      </c>
      <c r="C509" s="751"/>
      <c r="D509" s="752"/>
      <c r="E509" s="753" t="e">
        <f t="shared" si="49"/>
        <v>#DIV/0!</v>
      </c>
      <c r="F509" s="789">
        <v>0</v>
      </c>
      <c r="G509" s="751"/>
      <c r="H509" s="778" t="e">
        <f t="shared" si="50"/>
        <v>#DIV/0!</v>
      </c>
      <c r="I509" s="821">
        <f t="shared" si="48"/>
        <v>0</v>
      </c>
      <c r="J509" s="755">
        <f t="shared" si="48"/>
        <v>0</v>
      </c>
      <c r="K509" s="650" t="e">
        <f t="shared" si="51"/>
        <v>#DIV/0!</v>
      </c>
    </row>
    <row r="510" spans="1:12" ht="24.95" customHeight="1">
      <c r="A510" s="730" t="s">
        <v>2898</v>
      </c>
      <c r="B510" s="452" t="s">
        <v>2899</v>
      </c>
      <c r="C510" s="751"/>
      <c r="D510" s="752"/>
      <c r="E510" s="753" t="e">
        <f t="shared" si="49"/>
        <v>#DIV/0!</v>
      </c>
      <c r="F510" s="789">
        <v>1600</v>
      </c>
      <c r="G510" s="751">
        <v>658</v>
      </c>
      <c r="H510" s="778">
        <f t="shared" si="50"/>
        <v>0.41125</v>
      </c>
      <c r="I510" s="821">
        <f t="shared" si="48"/>
        <v>1600</v>
      </c>
      <c r="J510" s="755">
        <f t="shared" si="48"/>
        <v>658</v>
      </c>
      <c r="K510" s="650">
        <f t="shared" si="51"/>
        <v>0.41125</v>
      </c>
    </row>
    <row r="511" spans="1:12" ht="24.95" customHeight="1">
      <c r="A511" s="730" t="s">
        <v>3082</v>
      </c>
      <c r="B511" s="452" t="s">
        <v>3083</v>
      </c>
      <c r="C511" s="751">
        <v>2</v>
      </c>
      <c r="D511" s="752"/>
      <c r="E511" s="753">
        <f t="shared" si="49"/>
        <v>0</v>
      </c>
      <c r="F511" s="789">
        <v>770</v>
      </c>
      <c r="G511" s="751">
        <v>329</v>
      </c>
      <c r="H511" s="778">
        <f t="shared" si="50"/>
        <v>0.42727272727272725</v>
      </c>
      <c r="I511" s="821">
        <f t="shared" ref="I511:J542" si="52">+C511+F511</f>
        <v>772</v>
      </c>
      <c r="J511" s="755">
        <f t="shared" si="52"/>
        <v>329</v>
      </c>
      <c r="K511" s="650">
        <f t="shared" si="51"/>
        <v>0.42616580310880831</v>
      </c>
    </row>
    <row r="512" spans="1:12" ht="24.95" customHeight="1">
      <c r="A512" s="730" t="s">
        <v>2449</v>
      </c>
      <c r="B512" s="452" t="s">
        <v>2450</v>
      </c>
      <c r="C512" s="751"/>
      <c r="D512" s="752"/>
      <c r="E512" s="753" t="e">
        <f t="shared" si="49"/>
        <v>#DIV/0!</v>
      </c>
      <c r="F512" s="789">
        <v>600</v>
      </c>
      <c r="G512" s="751">
        <v>221</v>
      </c>
      <c r="H512" s="778">
        <f t="shared" si="50"/>
        <v>0.36833333333333335</v>
      </c>
      <c r="I512" s="821">
        <f t="shared" si="52"/>
        <v>600</v>
      </c>
      <c r="J512" s="755">
        <f t="shared" si="52"/>
        <v>221</v>
      </c>
      <c r="K512" s="650">
        <f t="shared" si="51"/>
        <v>0.36833333333333335</v>
      </c>
    </row>
    <row r="513" spans="1:11" ht="24.95" customHeight="1">
      <c r="A513" s="730" t="s">
        <v>1933</v>
      </c>
      <c r="B513" s="452" t="s">
        <v>2948</v>
      </c>
      <c r="C513" s="751"/>
      <c r="D513" s="752"/>
      <c r="E513" s="753" t="e">
        <f t="shared" si="49"/>
        <v>#DIV/0!</v>
      </c>
      <c r="F513" s="789">
        <v>1</v>
      </c>
      <c r="G513" s="751"/>
      <c r="H513" s="778">
        <f t="shared" si="50"/>
        <v>0</v>
      </c>
      <c r="I513" s="821">
        <f t="shared" si="52"/>
        <v>1</v>
      </c>
      <c r="J513" s="755">
        <f t="shared" si="52"/>
        <v>0</v>
      </c>
      <c r="K513" s="650">
        <f t="shared" si="51"/>
        <v>0</v>
      </c>
    </row>
    <row r="514" spans="1:11" ht="24.95" customHeight="1">
      <c r="A514" s="730" t="s">
        <v>2902</v>
      </c>
      <c r="B514" s="452" t="s">
        <v>2903</v>
      </c>
      <c r="C514" s="751"/>
      <c r="D514" s="752"/>
      <c r="E514" s="753" t="e">
        <f t="shared" si="49"/>
        <v>#DIV/0!</v>
      </c>
      <c r="F514" s="789">
        <v>10</v>
      </c>
      <c r="G514" s="751"/>
      <c r="H514" s="778">
        <f t="shared" si="50"/>
        <v>0</v>
      </c>
      <c r="I514" s="821">
        <f t="shared" si="52"/>
        <v>10</v>
      </c>
      <c r="J514" s="755">
        <f t="shared" si="52"/>
        <v>0</v>
      </c>
      <c r="K514" s="650">
        <f t="shared" si="51"/>
        <v>0</v>
      </c>
    </row>
    <row r="515" spans="1:11" ht="24.95" customHeight="1">
      <c r="A515" s="730" t="s">
        <v>2455</v>
      </c>
      <c r="B515" s="452" t="s">
        <v>2456</v>
      </c>
      <c r="C515" s="751"/>
      <c r="D515" s="752"/>
      <c r="E515" s="753" t="e">
        <f t="shared" si="49"/>
        <v>#DIV/0!</v>
      </c>
      <c r="F515" s="789">
        <v>900</v>
      </c>
      <c r="G515" s="751">
        <v>381</v>
      </c>
      <c r="H515" s="778">
        <f t="shared" si="50"/>
        <v>0.42333333333333334</v>
      </c>
      <c r="I515" s="821">
        <f t="shared" si="52"/>
        <v>900</v>
      </c>
      <c r="J515" s="755">
        <f t="shared" si="52"/>
        <v>381</v>
      </c>
      <c r="K515" s="650">
        <f t="shared" si="51"/>
        <v>0.42333333333333334</v>
      </c>
    </row>
    <row r="516" spans="1:11" ht="24.95" customHeight="1">
      <c r="A516" s="730" t="s">
        <v>2459</v>
      </c>
      <c r="B516" s="452" t="s">
        <v>2460</v>
      </c>
      <c r="C516" s="751"/>
      <c r="D516" s="752"/>
      <c r="E516" s="753" t="e">
        <f t="shared" si="49"/>
        <v>#DIV/0!</v>
      </c>
      <c r="F516" s="789">
        <v>0</v>
      </c>
      <c r="G516" s="751"/>
      <c r="H516" s="778" t="e">
        <f t="shared" si="50"/>
        <v>#DIV/0!</v>
      </c>
      <c r="I516" s="821">
        <f t="shared" si="52"/>
        <v>0</v>
      </c>
      <c r="J516" s="755">
        <f t="shared" si="52"/>
        <v>0</v>
      </c>
      <c r="K516" s="650" t="e">
        <f t="shared" si="51"/>
        <v>#DIV/0!</v>
      </c>
    </row>
    <row r="517" spans="1:11" ht="24.95" customHeight="1">
      <c r="A517" s="730" t="s">
        <v>2461</v>
      </c>
      <c r="B517" s="452" t="s">
        <v>2462</v>
      </c>
      <c r="C517" s="751"/>
      <c r="D517" s="752"/>
      <c r="E517" s="753" t="e">
        <f t="shared" si="49"/>
        <v>#DIV/0!</v>
      </c>
      <c r="F517" s="789">
        <v>0</v>
      </c>
      <c r="G517" s="751"/>
      <c r="H517" s="778" t="e">
        <f t="shared" si="50"/>
        <v>#DIV/0!</v>
      </c>
      <c r="I517" s="821">
        <f t="shared" si="52"/>
        <v>0</v>
      </c>
      <c r="J517" s="755">
        <f t="shared" si="52"/>
        <v>0</v>
      </c>
      <c r="K517" s="650" t="e">
        <f t="shared" si="51"/>
        <v>#DIV/0!</v>
      </c>
    </row>
    <row r="518" spans="1:11" ht="24.95" customHeight="1">
      <c r="A518" s="730" t="s">
        <v>3084</v>
      </c>
      <c r="B518" s="452" t="s">
        <v>2470</v>
      </c>
      <c r="C518" s="751"/>
      <c r="D518" s="752"/>
      <c r="E518" s="753" t="e">
        <f t="shared" si="49"/>
        <v>#DIV/0!</v>
      </c>
      <c r="F518" s="789">
        <v>10</v>
      </c>
      <c r="G518" s="751">
        <v>1</v>
      </c>
      <c r="H518" s="778">
        <f t="shared" si="50"/>
        <v>0.1</v>
      </c>
      <c r="I518" s="821">
        <f t="shared" si="52"/>
        <v>10</v>
      </c>
      <c r="J518" s="755">
        <f t="shared" si="52"/>
        <v>1</v>
      </c>
      <c r="K518" s="650">
        <f t="shared" si="51"/>
        <v>0.1</v>
      </c>
    </row>
    <row r="519" spans="1:11" ht="24.95" customHeight="1">
      <c r="A519" s="730" t="s">
        <v>2931</v>
      </c>
      <c r="B519" s="452" t="s">
        <v>2932</v>
      </c>
      <c r="C519" s="751">
        <v>65</v>
      </c>
      <c r="D519" s="752">
        <v>14</v>
      </c>
      <c r="E519" s="753">
        <f t="shared" si="49"/>
        <v>0.2153846153846154</v>
      </c>
      <c r="F519" s="789">
        <v>1200</v>
      </c>
      <c r="G519" s="751">
        <v>523</v>
      </c>
      <c r="H519" s="778">
        <f t="shared" si="50"/>
        <v>0.43583333333333335</v>
      </c>
      <c r="I519" s="821">
        <f t="shared" si="52"/>
        <v>1265</v>
      </c>
      <c r="J519" s="755">
        <f t="shared" si="52"/>
        <v>537</v>
      </c>
      <c r="K519" s="650">
        <f t="shared" si="51"/>
        <v>0.42450592885375493</v>
      </c>
    </row>
    <row r="520" spans="1:11" ht="24.95" customHeight="1">
      <c r="A520" s="730" t="s">
        <v>2933</v>
      </c>
      <c r="B520" s="452" t="s">
        <v>2934</v>
      </c>
      <c r="C520" s="751"/>
      <c r="D520" s="752"/>
      <c r="E520" s="753" t="e">
        <f t="shared" si="49"/>
        <v>#DIV/0!</v>
      </c>
      <c r="F520" s="789">
        <v>0</v>
      </c>
      <c r="G520" s="751"/>
      <c r="H520" s="778" t="e">
        <f t="shared" si="50"/>
        <v>#DIV/0!</v>
      </c>
      <c r="I520" s="821">
        <f t="shared" si="52"/>
        <v>0</v>
      </c>
      <c r="J520" s="755">
        <f t="shared" si="52"/>
        <v>0</v>
      </c>
      <c r="K520" s="650" t="e">
        <f t="shared" si="51"/>
        <v>#DIV/0!</v>
      </c>
    </row>
    <row r="521" spans="1:11" ht="24.95" customHeight="1">
      <c r="A521" s="730" t="s">
        <v>2481</v>
      </c>
      <c r="B521" s="452" t="s">
        <v>2935</v>
      </c>
      <c r="C521" s="751"/>
      <c r="D521" s="752"/>
      <c r="E521" s="753" t="e">
        <f t="shared" si="49"/>
        <v>#DIV/0!</v>
      </c>
      <c r="F521" s="789">
        <v>0</v>
      </c>
      <c r="G521" s="751"/>
      <c r="H521" s="778" t="e">
        <f t="shared" si="50"/>
        <v>#DIV/0!</v>
      </c>
      <c r="I521" s="821">
        <f t="shared" si="52"/>
        <v>0</v>
      </c>
      <c r="J521" s="755">
        <f t="shared" si="52"/>
        <v>0</v>
      </c>
      <c r="K521" s="650" t="e">
        <f t="shared" si="51"/>
        <v>#DIV/0!</v>
      </c>
    </row>
    <row r="522" spans="1:11" ht="24.95" customHeight="1">
      <c r="A522" s="730" t="s">
        <v>2936</v>
      </c>
      <c r="B522" s="452" t="s">
        <v>3085</v>
      </c>
      <c r="C522" s="751">
        <v>10</v>
      </c>
      <c r="D522" s="752">
        <v>1</v>
      </c>
      <c r="E522" s="753">
        <f t="shared" si="49"/>
        <v>0.1</v>
      </c>
      <c r="F522" s="789">
        <v>1250</v>
      </c>
      <c r="G522" s="751">
        <v>530</v>
      </c>
      <c r="H522" s="778">
        <f t="shared" si="50"/>
        <v>0.42399999999999999</v>
      </c>
      <c r="I522" s="821">
        <f t="shared" si="52"/>
        <v>1260</v>
      </c>
      <c r="J522" s="755">
        <f t="shared" si="52"/>
        <v>531</v>
      </c>
      <c r="K522" s="650">
        <f t="shared" si="51"/>
        <v>0.42142857142857143</v>
      </c>
    </row>
    <row r="523" spans="1:11" ht="24.95" customHeight="1">
      <c r="A523" s="730" t="s">
        <v>3086</v>
      </c>
      <c r="B523" s="452" t="s">
        <v>3087</v>
      </c>
      <c r="C523" s="751"/>
      <c r="D523" s="752"/>
      <c r="E523" s="753" t="e">
        <f t="shared" si="49"/>
        <v>#DIV/0!</v>
      </c>
      <c r="F523" s="789">
        <v>0</v>
      </c>
      <c r="G523" s="751"/>
      <c r="H523" s="778" t="e">
        <f t="shared" si="50"/>
        <v>#DIV/0!</v>
      </c>
      <c r="I523" s="821">
        <f t="shared" si="52"/>
        <v>0</v>
      </c>
      <c r="J523" s="755">
        <f t="shared" si="52"/>
        <v>0</v>
      </c>
      <c r="K523" s="650" t="e">
        <f t="shared" si="51"/>
        <v>#DIV/0!</v>
      </c>
    </row>
    <row r="524" spans="1:11" ht="24.95" customHeight="1">
      <c r="A524" s="730" t="s">
        <v>2942</v>
      </c>
      <c r="B524" s="452" t="s">
        <v>2943</v>
      </c>
      <c r="C524" s="751">
        <v>10</v>
      </c>
      <c r="D524" s="752">
        <v>4</v>
      </c>
      <c r="E524" s="753">
        <f t="shared" si="49"/>
        <v>0.4</v>
      </c>
      <c r="F524" s="789">
        <v>1450</v>
      </c>
      <c r="G524" s="751">
        <v>598</v>
      </c>
      <c r="H524" s="778">
        <f t="shared" si="50"/>
        <v>0.41241379310344828</v>
      </c>
      <c r="I524" s="821">
        <f t="shared" si="52"/>
        <v>1460</v>
      </c>
      <c r="J524" s="755">
        <f t="shared" si="52"/>
        <v>602</v>
      </c>
      <c r="K524" s="650">
        <f t="shared" si="51"/>
        <v>0.4123287671232877</v>
      </c>
    </row>
    <row r="525" spans="1:11" ht="24.95" customHeight="1">
      <c r="A525" s="730" t="s">
        <v>3088</v>
      </c>
      <c r="B525" s="452" t="s">
        <v>3089</v>
      </c>
      <c r="C525" s="751"/>
      <c r="D525" s="752"/>
      <c r="E525" s="753" t="e">
        <f t="shared" si="49"/>
        <v>#DIV/0!</v>
      </c>
      <c r="F525" s="789">
        <v>0</v>
      </c>
      <c r="G525" s="751"/>
      <c r="H525" s="778" t="e">
        <f t="shared" si="50"/>
        <v>#DIV/0!</v>
      </c>
      <c r="I525" s="821">
        <f t="shared" si="52"/>
        <v>0</v>
      </c>
      <c r="J525" s="755">
        <f t="shared" si="52"/>
        <v>0</v>
      </c>
      <c r="K525" s="650" t="e">
        <f t="shared" si="51"/>
        <v>#DIV/0!</v>
      </c>
    </row>
    <row r="526" spans="1:11" ht="24.95" customHeight="1">
      <c r="A526" s="730" t="s">
        <v>3090</v>
      </c>
      <c r="B526" s="452" t="s">
        <v>3091</v>
      </c>
      <c r="C526" s="751"/>
      <c r="D526" s="752"/>
      <c r="E526" s="753" t="e">
        <f t="shared" si="49"/>
        <v>#DIV/0!</v>
      </c>
      <c r="F526" s="789">
        <v>0</v>
      </c>
      <c r="G526" s="751"/>
      <c r="H526" s="778" t="e">
        <f t="shared" si="50"/>
        <v>#DIV/0!</v>
      </c>
      <c r="I526" s="821">
        <f t="shared" si="52"/>
        <v>0</v>
      </c>
      <c r="J526" s="755">
        <f t="shared" si="52"/>
        <v>0</v>
      </c>
      <c r="K526" s="650" t="e">
        <f t="shared" si="51"/>
        <v>#DIV/0!</v>
      </c>
    </row>
    <row r="527" spans="1:11" ht="24.95" customHeight="1">
      <c r="A527" s="730" t="s">
        <v>1933</v>
      </c>
      <c r="B527" s="452" t="s">
        <v>2948</v>
      </c>
      <c r="C527" s="751"/>
      <c r="D527" s="752"/>
      <c r="E527" s="753" t="e">
        <f t="shared" si="49"/>
        <v>#DIV/0!</v>
      </c>
      <c r="F527" s="789">
        <v>5</v>
      </c>
      <c r="G527" s="751"/>
      <c r="H527" s="778">
        <f t="shared" si="50"/>
        <v>0</v>
      </c>
      <c r="I527" s="821">
        <f t="shared" si="52"/>
        <v>5</v>
      </c>
      <c r="J527" s="755">
        <f t="shared" si="52"/>
        <v>0</v>
      </c>
      <c r="K527" s="650">
        <f t="shared" si="51"/>
        <v>0</v>
      </c>
    </row>
    <row r="528" spans="1:11" ht="24.95" customHeight="1">
      <c r="A528" s="730" t="s">
        <v>2955</v>
      </c>
      <c r="B528" s="452" t="s">
        <v>2956</v>
      </c>
      <c r="C528" s="751"/>
      <c r="D528" s="752"/>
      <c r="E528" s="753" t="e">
        <f t="shared" si="49"/>
        <v>#DIV/0!</v>
      </c>
      <c r="F528" s="789">
        <v>0</v>
      </c>
      <c r="G528" s="751"/>
      <c r="H528" s="778" t="e">
        <f t="shared" si="50"/>
        <v>#DIV/0!</v>
      </c>
      <c r="I528" s="821">
        <f t="shared" si="52"/>
        <v>0</v>
      </c>
      <c r="J528" s="755">
        <f t="shared" si="52"/>
        <v>0</v>
      </c>
      <c r="K528" s="650" t="e">
        <f t="shared" si="51"/>
        <v>#DIV/0!</v>
      </c>
    </row>
    <row r="529" spans="1:11" ht="24.95" customHeight="1">
      <c r="A529" s="730" t="s">
        <v>3092</v>
      </c>
      <c r="B529" s="452" t="s">
        <v>3093</v>
      </c>
      <c r="C529" s="751"/>
      <c r="D529" s="752"/>
      <c r="E529" s="753" t="e">
        <f t="shared" si="49"/>
        <v>#DIV/0!</v>
      </c>
      <c r="F529" s="789">
        <v>0</v>
      </c>
      <c r="G529" s="751"/>
      <c r="H529" s="778" t="e">
        <f t="shared" si="50"/>
        <v>#DIV/0!</v>
      </c>
      <c r="I529" s="821">
        <f t="shared" si="52"/>
        <v>0</v>
      </c>
      <c r="J529" s="755">
        <f t="shared" si="52"/>
        <v>0</v>
      </c>
      <c r="K529" s="650" t="e">
        <f t="shared" si="51"/>
        <v>#DIV/0!</v>
      </c>
    </row>
    <row r="530" spans="1:11" ht="24.95" customHeight="1">
      <c r="A530" s="730" t="s">
        <v>3094</v>
      </c>
      <c r="B530" s="452" t="s">
        <v>3095</v>
      </c>
      <c r="C530" s="751"/>
      <c r="D530" s="752"/>
      <c r="E530" s="753" t="e">
        <f t="shared" si="49"/>
        <v>#DIV/0!</v>
      </c>
      <c r="F530" s="789">
        <v>27470</v>
      </c>
      <c r="G530" s="751">
        <v>11460</v>
      </c>
      <c r="H530" s="778">
        <f t="shared" si="50"/>
        <v>0.41718238077903169</v>
      </c>
      <c r="I530" s="821">
        <f t="shared" si="52"/>
        <v>27470</v>
      </c>
      <c r="J530" s="755">
        <f t="shared" si="52"/>
        <v>11460</v>
      </c>
      <c r="K530" s="650">
        <f t="shared" si="51"/>
        <v>0.41718238077903169</v>
      </c>
    </row>
    <row r="531" spans="1:11" ht="24.95" customHeight="1">
      <c r="A531" s="730" t="s">
        <v>2615</v>
      </c>
      <c r="B531" s="452" t="s">
        <v>3003</v>
      </c>
      <c r="C531" s="751"/>
      <c r="D531" s="752"/>
      <c r="E531" s="753" t="e">
        <f t="shared" si="49"/>
        <v>#DIV/0!</v>
      </c>
      <c r="F531" s="789">
        <v>6000</v>
      </c>
      <c r="G531" s="751"/>
      <c r="H531" s="778">
        <f t="shared" si="50"/>
        <v>0</v>
      </c>
      <c r="I531" s="821">
        <f t="shared" si="52"/>
        <v>6000</v>
      </c>
      <c r="J531" s="755">
        <f t="shared" si="52"/>
        <v>0</v>
      </c>
      <c r="K531" s="650">
        <f t="shared" si="51"/>
        <v>0</v>
      </c>
    </row>
    <row r="532" spans="1:11" ht="24.95" customHeight="1">
      <c r="A532" s="730" t="s">
        <v>2620</v>
      </c>
      <c r="B532" s="760" t="s">
        <v>2621</v>
      </c>
      <c r="C532" s="751"/>
      <c r="D532" s="752"/>
      <c r="E532" s="753" t="e">
        <f t="shared" si="49"/>
        <v>#DIV/0!</v>
      </c>
      <c r="F532" s="789">
        <v>1270</v>
      </c>
      <c r="G532" s="751">
        <v>529</v>
      </c>
      <c r="H532" s="778">
        <f t="shared" si="50"/>
        <v>0.41653543307086616</v>
      </c>
      <c r="I532" s="821">
        <f t="shared" si="52"/>
        <v>1270</v>
      </c>
      <c r="J532" s="755">
        <f t="shared" si="52"/>
        <v>529</v>
      </c>
      <c r="K532" s="650">
        <f t="shared" si="51"/>
        <v>0.41653543307086616</v>
      </c>
    </row>
    <row r="533" spans="1:11" ht="24.95" customHeight="1">
      <c r="A533" s="730" t="s">
        <v>2329</v>
      </c>
      <c r="B533" s="760" t="s">
        <v>2961</v>
      </c>
      <c r="C533" s="751"/>
      <c r="D533" s="752"/>
      <c r="E533" s="753" t="e">
        <f t="shared" si="49"/>
        <v>#DIV/0!</v>
      </c>
      <c r="F533" s="789">
        <v>0</v>
      </c>
      <c r="G533" s="751"/>
      <c r="H533" s="778" t="e">
        <f t="shared" si="50"/>
        <v>#DIV/0!</v>
      </c>
      <c r="I533" s="821">
        <f t="shared" si="52"/>
        <v>0</v>
      </c>
      <c r="J533" s="755">
        <f t="shared" si="52"/>
        <v>0</v>
      </c>
      <c r="K533" s="650" t="e">
        <f t="shared" si="51"/>
        <v>#DIV/0!</v>
      </c>
    </row>
    <row r="534" spans="1:11" ht="24.95" customHeight="1">
      <c r="A534" s="730" t="s">
        <v>2624</v>
      </c>
      <c r="B534" s="760" t="s">
        <v>2330</v>
      </c>
      <c r="C534" s="751">
        <v>2</v>
      </c>
      <c r="D534" s="752"/>
      <c r="E534" s="753">
        <f t="shared" si="49"/>
        <v>0</v>
      </c>
      <c r="F534" s="789">
        <v>7560</v>
      </c>
      <c r="G534" s="751">
        <v>2712</v>
      </c>
      <c r="H534" s="778">
        <f t="shared" si="50"/>
        <v>0.35873015873015873</v>
      </c>
      <c r="I534" s="821">
        <f t="shared" si="52"/>
        <v>7562</v>
      </c>
      <c r="J534" s="755">
        <f t="shared" si="52"/>
        <v>2712</v>
      </c>
      <c r="K534" s="650">
        <f t="shared" si="51"/>
        <v>0.35863528167151548</v>
      </c>
    </row>
    <row r="535" spans="1:11" ht="24.95" customHeight="1">
      <c r="A535" s="730" t="s">
        <v>2331</v>
      </c>
      <c r="B535" s="760" t="s">
        <v>2332</v>
      </c>
      <c r="C535" s="751"/>
      <c r="D535" s="752"/>
      <c r="E535" s="753" t="e">
        <f t="shared" si="49"/>
        <v>#DIV/0!</v>
      </c>
      <c r="F535" s="789">
        <v>15</v>
      </c>
      <c r="G535" s="751"/>
      <c r="H535" s="778">
        <f t="shared" si="50"/>
        <v>0</v>
      </c>
      <c r="I535" s="821">
        <f t="shared" si="52"/>
        <v>15</v>
      </c>
      <c r="J535" s="755">
        <f t="shared" si="52"/>
        <v>0</v>
      </c>
      <c r="K535" s="650">
        <f t="shared" si="51"/>
        <v>0</v>
      </c>
    </row>
    <row r="536" spans="1:11" ht="24.95" customHeight="1">
      <c r="A536" s="730" t="s">
        <v>2629</v>
      </c>
      <c r="B536" s="760" t="s">
        <v>2630</v>
      </c>
      <c r="C536" s="751"/>
      <c r="D536" s="752"/>
      <c r="E536" s="753" t="e">
        <f t="shared" si="49"/>
        <v>#DIV/0!</v>
      </c>
      <c r="F536" s="789">
        <v>990</v>
      </c>
      <c r="G536" s="751">
        <v>400</v>
      </c>
      <c r="H536" s="778">
        <f t="shared" si="50"/>
        <v>0.40404040404040403</v>
      </c>
      <c r="I536" s="821">
        <f t="shared" si="52"/>
        <v>990</v>
      </c>
      <c r="J536" s="755">
        <f t="shared" si="52"/>
        <v>400</v>
      </c>
      <c r="K536" s="650">
        <f t="shared" si="51"/>
        <v>0.40404040404040403</v>
      </c>
    </row>
    <row r="537" spans="1:11" ht="24.95" customHeight="1">
      <c r="A537" s="730" t="s">
        <v>2631</v>
      </c>
      <c r="B537" s="760" t="s">
        <v>2632</v>
      </c>
      <c r="C537" s="751"/>
      <c r="D537" s="752"/>
      <c r="E537" s="753" t="e">
        <f t="shared" si="49"/>
        <v>#DIV/0!</v>
      </c>
      <c r="F537" s="789">
        <v>355</v>
      </c>
      <c r="G537" s="751">
        <v>76</v>
      </c>
      <c r="H537" s="778">
        <f t="shared" si="50"/>
        <v>0.21408450704225351</v>
      </c>
      <c r="I537" s="821">
        <f t="shared" si="52"/>
        <v>355</v>
      </c>
      <c r="J537" s="755">
        <f t="shared" si="52"/>
        <v>76</v>
      </c>
      <c r="K537" s="650">
        <f t="shared" si="51"/>
        <v>0.21408450704225351</v>
      </c>
    </row>
    <row r="538" spans="1:11" ht="24.95" customHeight="1">
      <c r="A538" s="793" t="s">
        <v>2178</v>
      </c>
      <c r="B538" s="760" t="s">
        <v>2179</v>
      </c>
      <c r="C538" s="751"/>
      <c r="D538" s="752"/>
      <c r="E538" s="753" t="e">
        <f t="shared" si="49"/>
        <v>#DIV/0!</v>
      </c>
      <c r="F538" s="789">
        <v>1</v>
      </c>
      <c r="G538" s="751"/>
      <c r="H538" s="778">
        <f t="shared" si="50"/>
        <v>0</v>
      </c>
      <c r="I538" s="821">
        <f t="shared" si="52"/>
        <v>1</v>
      </c>
      <c r="J538" s="755">
        <f t="shared" si="52"/>
        <v>0</v>
      </c>
      <c r="K538" s="650">
        <f t="shared" si="51"/>
        <v>0</v>
      </c>
    </row>
    <row r="539" spans="1:11" ht="24.95" customHeight="1">
      <c r="A539" s="824" t="s">
        <v>2971</v>
      </c>
      <c r="B539" s="760" t="s">
        <v>2972</v>
      </c>
      <c r="C539" s="751"/>
      <c r="D539" s="752"/>
      <c r="E539" s="753" t="e">
        <f t="shared" si="49"/>
        <v>#DIV/0!</v>
      </c>
      <c r="F539" s="789">
        <v>0</v>
      </c>
      <c r="G539" s="751"/>
      <c r="H539" s="778" t="e">
        <f t="shared" si="50"/>
        <v>#DIV/0!</v>
      </c>
      <c r="I539" s="821">
        <f t="shared" si="52"/>
        <v>0</v>
      </c>
      <c r="J539" s="755">
        <f t="shared" si="52"/>
        <v>0</v>
      </c>
      <c r="K539" s="650" t="e">
        <f t="shared" si="51"/>
        <v>#DIV/0!</v>
      </c>
    </row>
    <row r="540" spans="1:11" ht="24.95" customHeight="1">
      <c r="A540" s="825" t="s">
        <v>2643</v>
      </c>
      <c r="B540" s="760" t="s">
        <v>2973</v>
      </c>
      <c r="C540" s="751"/>
      <c r="D540" s="752"/>
      <c r="E540" s="753" t="e">
        <f t="shared" si="49"/>
        <v>#DIV/0!</v>
      </c>
      <c r="F540" s="789">
        <v>1</v>
      </c>
      <c r="G540" s="751"/>
      <c r="H540" s="778">
        <f t="shared" si="50"/>
        <v>0</v>
      </c>
      <c r="I540" s="821">
        <f t="shared" si="52"/>
        <v>1</v>
      </c>
      <c r="J540" s="755">
        <f t="shared" si="52"/>
        <v>0</v>
      </c>
      <c r="K540" s="650">
        <f t="shared" si="51"/>
        <v>0</v>
      </c>
    </row>
    <row r="541" spans="1:11" ht="24.95" customHeight="1">
      <c r="A541" s="825" t="s">
        <v>2974</v>
      </c>
      <c r="B541" s="760" t="s">
        <v>2975</v>
      </c>
      <c r="C541" s="751"/>
      <c r="D541" s="752"/>
      <c r="E541" s="753" t="e">
        <f t="shared" si="49"/>
        <v>#DIV/0!</v>
      </c>
      <c r="F541" s="789">
        <v>1</v>
      </c>
      <c r="G541" s="751"/>
      <c r="H541" s="778">
        <f t="shared" si="50"/>
        <v>0</v>
      </c>
      <c r="I541" s="821">
        <f t="shared" si="52"/>
        <v>1</v>
      </c>
      <c r="J541" s="755">
        <f t="shared" si="52"/>
        <v>0</v>
      </c>
      <c r="K541" s="650">
        <f t="shared" si="51"/>
        <v>0</v>
      </c>
    </row>
    <row r="542" spans="1:11" ht="24.95" customHeight="1">
      <c r="A542" s="826" t="s">
        <v>3049</v>
      </c>
      <c r="B542" s="760" t="s">
        <v>3050</v>
      </c>
      <c r="C542" s="751"/>
      <c r="D542" s="752"/>
      <c r="E542" s="753" t="e">
        <f t="shared" si="49"/>
        <v>#DIV/0!</v>
      </c>
      <c r="F542" s="789">
        <v>100</v>
      </c>
      <c r="G542" s="751">
        <v>33</v>
      </c>
      <c r="H542" s="778">
        <f t="shared" si="50"/>
        <v>0.33</v>
      </c>
      <c r="I542" s="821">
        <f t="shared" si="52"/>
        <v>100</v>
      </c>
      <c r="J542" s="755">
        <f t="shared" si="52"/>
        <v>33</v>
      </c>
      <c r="K542" s="650">
        <f t="shared" si="51"/>
        <v>0.33</v>
      </c>
    </row>
    <row r="543" spans="1:11" ht="24.95" customHeight="1">
      <c r="A543" s="730" t="s">
        <v>2645</v>
      </c>
      <c r="B543" s="760" t="s">
        <v>2646</v>
      </c>
      <c r="C543" s="751">
        <v>21</v>
      </c>
      <c r="D543" s="752">
        <v>6</v>
      </c>
      <c r="E543" s="753">
        <f t="shared" si="49"/>
        <v>0.2857142857142857</v>
      </c>
      <c r="F543" s="789">
        <v>400</v>
      </c>
      <c r="G543" s="751">
        <v>192</v>
      </c>
      <c r="H543" s="778">
        <f t="shared" si="50"/>
        <v>0.48</v>
      </c>
      <c r="I543" s="821">
        <f t="shared" ref="I543:J550" si="53">+C543+F543</f>
        <v>421</v>
      </c>
      <c r="J543" s="755">
        <f t="shared" si="53"/>
        <v>198</v>
      </c>
      <c r="K543" s="650">
        <f t="shared" si="51"/>
        <v>0.47030878859857483</v>
      </c>
    </row>
    <row r="544" spans="1:11" ht="24.95" customHeight="1">
      <c r="A544" s="730" t="s">
        <v>3096</v>
      </c>
      <c r="B544" s="452" t="s">
        <v>3097</v>
      </c>
      <c r="C544" s="751"/>
      <c r="D544" s="752"/>
      <c r="E544" s="753" t="e">
        <f t="shared" ref="E544:E552" si="54">+D544/C544</f>
        <v>#DIV/0!</v>
      </c>
      <c r="F544" s="789">
        <v>0</v>
      </c>
      <c r="G544" s="751"/>
      <c r="H544" s="778" t="e">
        <f t="shared" ref="H544:H552" si="55">+G544/F544</f>
        <v>#DIV/0!</v>
      </c>
      <c r="I544" s="821">
        <f t="shared" si="53"/>
        <v>0</v>
      </c>
      <c r="J544" s="755">
        <f t="shared" si="53"/>
        <v>0</v>
      </c>
      <c r="K544" s="650" t="e">
        <f t="shared" ref="K544:K552" si="56">+J544/I544</f>
        <v>#DIV/0!</v>
      </c>
    </row>
    <row r="545" spans="1:11" ht="24.95" customHeight="1">
      <c r="A545" s="756" t="s">
        <v>2613</v>
      </c>
      <c r="B545" s="760" t="s">
        <v>2614</v>
      </c>
      <c r="C545" s="751"/>
      <c r="D545" s="752"/>
      <c r="E545" s="753" t="e">
        <f t="shared" si="54"/>
        <v>#DIV/0!</v>
      </c>
      <c r="F545" s="789">
        <v>1</v>
      </c>
      <c r="G545" s="751"/>
      <c r="H545" s="778">
        <f t="shared" si="55"/>
        <v>0</v>
      </c>
      <c r="I545" s="821">
        <f t="shared" si="53"/>
        <v>1</v>
      </c>
      <c r="J545" s="755">
        <f t="shared" si="53"/>
        <v>0</v>
      </c>
      <c r="K545" s="650">
        <f t="shared" si="56"/>
        <v>0</v>
      </c>
    </row>
    <row r="546" spans="1:11" ht="24.95" customHeight="1">
      <c r="A546" s="730" t="s">
        <v>2655</v>
      </c>
      <c r="B546" s="452" t="s">
        <v>2656</v>
      </c>
      <c r="C546" s="751"/>
      <c r="D546" s="752"/>
      <c r="E546" s="753" t="e">
        <f t="shared" si="54"/>
        <v>#DIV/0!</v>
      </c>
      <c r="F546" s="789">
        <v>0</v>
      </c>
      <c r="G546" s="751"/>
      <c r="H546" s="778" t="e">
        <f t="shared" si="55"/>
        <v>#DIV/0!</v>
      </c>
      <c r="I546" s="821">
        <f t="shared" si="53"/>
        <v>0</v>
      </c>
      <c r="J546" s="755">
        <f t="shared" si="53"/>
        <v>0</v>
      </c>
      <c r="K546" s="650" t="e">
        <f t="shared" si="56"/>
        <v>#DIV/0!</v>
      </c>
    </row>
    <row r="547" spans="1:11" ht="24.95" customHeight="1">
      <c r="A547" s="793">
        <v>260002</v>
      </c>
      <c r="B547" s="452" t="s">
        <v>3098</v>
      </c>
      <c r="C547" s="751"/>
      <c r="D547" s="752"/>
      <c r="E547" s="753" t="e">
        <f t="shared" si="54"/>
        <v>#DIV/0!</v>
      </c>
      <c r="F547" s="789">
        <v>1</v>
      </c>
      <c r="G547" s="751"/>
      <c r="H547" s="778">
        <f t="shared" si="55"/>
        <v>0</v>
      </c>
      <c r="I547" s="821">
        <f t="shared" si="53"/>
        <v>1</v>
      </c>
      <c r="J547" s="755">
        <f t="shared" si="53"/>
        <v>0</v>
      </c>
      <c r="K547" s="650">
        <f t="shared" si="56"/>
        <v>0</v>
      </c>
    </row>
    <row r="548" spans="1:11" ht="24.95" customHeight="1">
      <c r="A548" s="824" t="s">
        <v>2667</v>
      </c>
      <c r="B548" s="760" t="s">
        <v>3004</v>
      </c>
      <c r="C548" s="751"/>
      <c r="D548" s="752"/>
      <c r="E548" s="753" t="e">
        <f t="shared" si="54"/>
        <v>#DIV/0!</v>
      </c>
      <c r="F548" s="789">
        <v>40</v>
      </c>
      <c r="G548" s="751">
        <v>7</v>
      </c>
      <c r="H548" s="778">
        <f t="shared" si="55"/>
        <v>0.17499999999999999</v>
      </c>
      <c r="I548" s="821">
        <f t="shared" si="53"/>
        <v>40</v>
      </c>
      <c r="J548" s="755">
        <f t="shared" si="53"/>
        <v>7</v>
      </c>
      <c r="K548" s="650">
        <f t="shared" si="56"/>
        <v>0.17499999999999999</v>
      </c>
    </row>
    <row r="549" spans="1:11" ht="24.95" customHeight="1">
      <c r="A549" s="824" t="s">
        <v>3099</v>
      </c>
      <c r="B549" s="760" t="s">
        <v>3100</v>
      </c>
      <c r="C549" s="751"/>
      <c r="D549" s="751"/>
      <c r="E549" s="753" t="e">
        <f t="shared" si="54"/>
        <v>#DIV/0!</v>
      </c>
      <c r="F549" s="810">
        <v>60</v>
      </c>
      <c r="G549" s="751">
        <v>5</v>
      </c>
      <c r="H549" s="778">
        <f t="shared" si="55"/>
        <v>8.3333333333333329E-2</v>
      </c>
      <c r="I549" s="821">
        <f t="shared" si="53"/>
        <v>60</v>
      </c>
      <c r="J549" s="755">
        <f t="shared" si="53"/>
        <v>5</v>
      </c>
      <c r="K549" s="650">
        <f t="shared" si="56"/>
        <v>8.3333333333333329E-2</v>
      </c>
    </row>
    <row r="550" spans="1:11" ht="24.95" customHeight="1">
      <c r="A550" s="824" t="s">
        <v>2669</v>
      </c>
      <c r="B550" s="760" t="s">
        <v>3005</v>
      </c>
      <c r="C550" s="751"/>
      <c r="D550" s="751"/>
      <c r="E550" s="753" t="e">
        <f t="shared" si="54"/>
        <v>#DIV/0!</v>
      </c>
      <c r="F550" s="810">
        <v>11</v>
      </c>
      <c r="G550" s="751">
        <v>4</v>
      </c>
      <c r="H550" s="778">
        <f t="shared" si="55"/>
        <v>0.36363636363636365</v>
      </c>
      <c r="I550" s="821">
        <f t="shared" si="53"/>
        <v>11</v>
      </c>
      <c r="J550" s="755">
        <f t="shared" si="53"/>
        <v>4</v>
      </c>
      <c r="K550" s="650">
        <f t="shared" si="56"/>
        <v>0.36363636363636365</v>
      </c>
    </row>
    <row r="551" spans="1:11" ht="24.95" customHeight="1">
      <c r="A551" s="456"/>
      <c r="B551" s="452" t="s">
        <v>2</v>
      </c>
      <c r="C551" s="751">
        <f>SUM(C479:C546)</f>
        <v>917</v>
      </c>
      <c r="D551" s="751">
        <f>SUM(D479:D546)</f>
        <v>395</v>
      </c>
      <c r="E551" s="753">
        <f t="shared" si="54"/>
        <v>0.43075245365321702</v>
      </c>
      <c r="F551" s="810">
        <f>SUM(F479:F550)</f>
        <v>69359</v>
      </c>
      <c r="G551" s="810">
        <f>SUM(G479:G550)</f>
        <v>25873</v>
      </c>
      <c r="H551" s="778">
        <f t="shared" si="55"/>
        <v>0.37303017632895513</v>
      </c>
      <c r="I551" s="827">
        <f>SUM(I479:I546)</f>
        <v>70164</v>
      </c>
      <c r="J551" s="771">
        <f>SUM(J479:J546)</f>
        <v>26252</v>
      </c>
      <c r="K551" s="650">
        <f t="shared" si="56"/>
        <v>0.37415198677384415</v>
      </c>
    </row>
    <row r="552" spans="1:11" ht="24.95" customHeight="1">
      <c r="A552" s="456"/>
      <c r="B552" s="452" t="s">
        <v>3101</v>
      </c>
      <c r="C552" s="751">
        <f t="shared" ref="C552:J552" si="57">+C394+C477+C551</f>
        <v>5336</v>
      </c>
      <c r="D552" s="751">
        <f t="shared" si="57"/>
        <v>2607</v>
      </c>
      <c r="E552" s="753">
        <f t="shared" si="54"/>
        <v>0.48856821589205396</v>
      </c>
      <c r="F552" s="810">
        <f t="shared" si="57"/>
        <v>178625</v>
      </c>
      <c r="G552" s="810">
        <f t="shared" si="57"/>
        <v>67830</v>
      </c>
      <c r="H552" s="778">
        <f t="shared" si="55"/>
        <v>0.37973407977606716</v>
      </c>
      <c r="I552" s="827">
        <f t="shared" si="57"/>
        <v>183849</v>
      </c>
      <c r="J552" s="771">
        <f t="shared" si="57"/>
        <v>70421</v>
      </c>
      <c r="K552" s="650">
        <f t="shared" si="56"/>
        <v>0.38303716637022772</v>
      </c>
    </row>
    <row r="553" spans="1:11" ht="24.95" customHeight="1">
      <c r="A553" s="828"/>
      <c r="B553" s="829" t="s">
        <v>3102</v>
      </c>
      <c r="C553" s="830"/>
      <c r="D553" s="830"/>
      <c r="E553" s="831"/>
      <c r="F553" s="832"/>
      <c r="G553" s="830"/>
      <c r="H553" s="831"/>
      <c r="I553" s="827"/>
      <c r="J553" s="771"/>
      <c r="K553" s="650"/>
    </row>
    <row r="554" spans="1:11" ht="24.95" customHeight="1">
      <c r="A554" s="785"/>
      <c r="B554" s="772" t="s">
        <v>2788</v>
      </c>
      <c r="C554" s="830"/>
      <c r="D554" s="830"/>
      <c r="E554" s="831"/>
      <c r="F554" s="832"/>
      <c r="G554" s="830"/>
      <c r="H554" s="831"/>
      <c r="I554" s="827"/>
      <c r="J554" s="771"/>
      <c r="K554" s="650"/>
    </row>
    <row r="555" spans="1:11" ht="24.95" customHeight="1">
      <c r="A555" s="787" t="s">
        <v>2387</v>
      </c>
      <c r="B555" s="788" t="s">
        <v>2388</v>
      </c>
      <c r="C555" s="751"/>
      <c r="D555" s="751"/>
      <c r="E555" s="778"/>
      <c r="F555" s="810">
        <v>2</v>
      </c>
      <c r="G555" s="751">
        <v>3</v>
      </c>
      <c r="H555" s="778">
        <f>+G555/F555</f>
        <v>1.5</v>
      </c>
      <c r="I555" s="833">
        <f t="shared" ref="I555:I618" si="58">+C555+F555</f>
        <v>2</v>
      </c>
      <c r="J555" s="747">
        <f>+G555</f>
        <v>3</v>
      </c>
      <c r="K555" s="650">
        <f>+J555/I555</f>
        <v>1.5</v>
      </c>
    </row>
    <row r="556" spans="1:11" ht="24.95" customHeight="1">
      <c r="A556" s="750">
        <v>130207</v>
      </c>
      <c r="B556" s="791" t="s">
        <v>2390</v>
      </c>
      <c r="C556" s="751"/>
      <c r="D556" s="751"/>
      <c r="E556" s="778"/>
      <c r="F556" s="810">
        <v>10</v>
      </c>
      <c r="G556" s="751">
        <v>4</v>
      </c>
      <c r="H556" s="778">
        <f t="shared" ref="H556:H619" si="59">+G556/F556</f>
        <v>0.4</v>
      </c>
      <c r="I556" s="833">
        <f t="shared" si="58"/>
        <v>10</v>
      </c>
      <c r="J556" s="747">
        <f t="shared" ref="J556:J619" si="60">+G556</f>
        <v>4</v>
      </c>
      <c r="K556" s="650">
        <f t="shared" ref="K556:K619" si="61">+J556/I556</f>
        <v>0.4</v>
      </c>
    </row>
    <row r="557" spans="1:11" ht="24.95" customHeight="1">
      <c r="A557" s="787" t="s">
        <v>2790</v>
      </c>
      <c r="B557" s="760" t="s">
        <v>2791</v>
      </c>
      <c r="C557" s="751"/>
      <c r="D557" s="752"/>
      <c r="E557" s="753"/>
      <c r="F557" s="789">
        <v>0</v>
      </c>
      <c r="G557" s="751"/>
      <c r="H557" s="778" t="e">
        <f t="shared" si="59"/>
        <v>#DIV/0!</v>
      </c>
      <c r="I557" s="833">
        <f t="shared" si="58"/>
        <v>0</v>
      </c>
      <c r="J557" s="747">
        <f t="shared" si="60"/>
        <v>0</v>
      </c>
      <c r="K557" s="650" t="e">
        <f t="shared" si="61"/>
        <v>#DIV/0!</v>
      </c>
    </row>
    <row r="558" spans="1:11" ht="24.95" customHeight="1">
      <c r="A558" s="750" t="s">
        <v>3062</v>
      </c>
      <c r="B558" s="760" t="s">
        <v>3061</v>
      </c>
      <c r="C558" s="751"/>
      <c r="D558" s="752"/>
      <c r="E558" s="753"/>
      <c r="F558" s="789">
        <v>0</v>
      </c>
      <c r="G558" s="751"/>
      <c r="H558" s="778" t="e">
        <f t="shared" si="59"/>
        <v>#DIV/0!</v>
      </c>
      <c r="I558" s="833">
        <f t="shared" si="58"/>
        <v>0</v>
      </c>
      <c r="J558" s="747">
        <f t="shared" si="60"/>
        <v>0</v>
      </c>
      <c r="K558" s="650" t="e">
        <f t="shared" si="61"/>
        <v>#DIV/0!</v>
      </c>
    </row>
    <row r="559" spans="1:11" ht="24.95" customHeight="1">
      <c r="A559" s="750" t="s">
        <v>2393</v>
      </c>
      <c r="B559" s="452" t="s">
        <v>2394</v>
      </c>
      <c r="C559" s="751"/>
      <c r="D559" s="752"/>
      <c r="E559" s="753"/>
      <c r="F559" s="789">
        <v>0</v>
      </c>
      <c r="G559" s="751"/>
      <c r="H559" s="778" t="e">
        <f t="shared" si="59"/>
        <v>#DIV/0!</v>
      </c>
      <c r="I559" s="833">
        <f t="shared" si="58"/>
        <v>0</v>
      </c>
      <c r="J559" s="747">
        <f t="shared" si="60"/>
        <v>0</v>
      </c>
      <c r="K559" s="650" t="e">
        <f t="shared" si="61"/>
        <v>#DIV/0!</v>
      </c>
    </row>
    <row r="560" spans="1:11" ht="24.95" customHeight="1">
      <c r="A560" s="750" t="s">
        <v>2395</v>
      </c>
      <c r="B560" s="452" t="s">
        <v>2396</v>
      </c>
      <c r="C560" s="751"/>
      <c r="D560" s="752"/>
      <c r="E560" s="753"/>
      <c r="F560" s="789">
        <v>5</v>
      </c>
      <c r="G560" s="751">
        <v>1</v>
      </c>
      <c r="H560" s="778">
        <f t="shared" si="59"/>
        <v>0.2</v>
      </c>
      <c r="I560" s="833">
        <f t="shared" si="58"/>
        <v>5</v>
      </c>
      <c r="J560" s="747">
        <f t="shared" si="60"/>
        <v>1</v>
      </c>
      <c r="K560" s="650">
        <f t="shared" si="61"/>
        <v>0.2</v>
      </c>
    </row>
    <row r="561" spans="1:11" ht="24.95" customHeight="1">
      <c r="A561" s="750" t="s">
        <v>2792</v>
      </c>
      <c r="B561" s="760" t="s">
        <v>2402</v>
      </c>
      <c r="C561" s="751"/>
      <c r="D561" s="752"/>
      <c r="E561" s="753"/>
      <c r="F561" s="789">
        <v>35</v>
      </c>
      <c r="G561" s="751">
        <v>34</v>
      </c>
      <c r="H561" s="778">
        <f t="shared" si="59"/>
        <v>0.97142857142857142</v>
      </c>
      <c r="I561" s="833">
        <f t="shared" si="58"/>
        <v>35</v>
      </c>
      <c r="J561" s="747">
        <f t="shared" si="60"/>
        <v>34</v>
      </c>
      <c r="K561" s="650">
        <f t="shared" si="61"/>
        <v>0.97142857142857142</v>
      </c>
    </row>
    <row r="562" spans="1:11" ht="24.95" customHeight="1">
      <c r="A562" s="750" t="s">
        <v>2794</v>
      </c>
      <c r="B562" s="452" t="s">
        <v>2795</v>
      </c>
      <c r="C562" s="751"/>
      <c r="D562" s="752"/>
      <c r="E562" s="753"/>
      <c r="F562" s="789">
        <v>0</v>
      </c>
      <c r="G562" s="751"/>
      <c r="H562" s="778" t="e">
        <f t="shared" si="59"/>
        <v>#DIV/0!</v>
      </c>
      <c r="I562" s="833">
        <f t="shared" si="58"/>
        <v>0</v>
      </c>
      <c r="J562" s="747">
        <f t="shared" si="60"/>
        <v>0</v>
      </c>
      <c r="K562" s="650" t="e">
        <f t="shared" si="61"/>
        <v>#DIV/0!</v>
      </c>
    </row>
    <row r="563" spans="1:11" ht="24.95" customHeight="1">
      <c r="A563" s="750" t="s">
        <v>2798</v>
      </c>
      <c r="B563" s="452" t="s">
        <v>2799</v>
      </c>
      <c r="C563" s="751"/>
      <c r="D563" s="752"/>
      <c r="E563" s="753"/>
      <c r="F563" s="789">
        <v>0</v>
      </c>
      <c r="G563" s="751"/>
      <c r="H563" s="778" t="e">
        <f t="shared" si="59"/>
        <v>#DIV/0!</v>
      </c>
      <c r="I563" s="833">
        <f t="shared" si="58"/>
        <v>0</v>
      </c>
      <c r="J563" s="747">
        <f t="shared" si="60"/>
        <v>0</v>
      </c>
      <c r="K563" s="650" t="e">
        <f t="shared" si="61"/>
        <v>#DIV/0!</v>
      </c>
    </row>
    <row r="564" spans="1:11" ht="24.95" customHeight="1">
      <c r="A564" s="750" t="s">
        <v>2800</v>
      </c>
      <c r="B564" s="452" t="s">
        <v>2678</v>
      </c>
      <c r="C564" s="751"/>
      <c r="D564" s="752"/>
      <c r="E564" s="753"/>
      <c r="F564" s="789">
        <v>2</v>
      </c>
      <c r="G564" s="751"/>
      <c r="H564" s="778">
        <f t="shared" si="59"/>
        <v>0</v>
      </c>
      <c r="I564" s="833">
        <f t="shared" si="58"/>
        <v>2</v>
      </c>
      <c r="J564" s="747">
        <f t="shared" si="60"/>
        <v>0</v>
      </c>
      <c r="K564" s="650">
        <f t="shared" si="61"/>
        <v>0</v>
      </c>
    </row>
    <row r="565" spans="1:11" ht="24.95" customHeight="1">
      <c r="A565" s="750" t="s">
        <v>2805</v>
      </c>
      <c r="B565" s="452" t="s">
        <v>2806</v>
      </c>
      <c r="C565" s="751"/>
      <c r="D565" s="752"/>
      <c r="E565" s="753"/>
      <c r="F565" s="789">
        <v>10</v>
      </c>
      <c r="G565" s="751">
        <v>11</v>
      </c>
      <c r="H565" s="778">
        <f t="shared" si="59"/>
        <v>1.1000000000000001</v>
      </c>
      <c r="I565" s="833">
        <f t="shared" si="58"/>
        <v>10</v>
      </c>
      <c r="J565" s="747">
        <f t="shared" si="60"/>
        <v>11</v>
      </c>
      <c r="K565" s="650">
        <f t="shared" si="61"/>
        <v>1.1000000000000001</v>
      </c>
    </row>
    <row r="566" spans="1:11" ht="24.95" customHeight="1">
      <c r="A566" s="794" t="s">
        <v>2808</v>
      </c>
      <c r="B566" s="795" t="s">
        <v>2809</v>
      </c>
      <c r="C566" s="751"/>
      <c r="D566" s="752"/>
      <c r="E566" s="753"/>
      <c r="F566" s="789">
        <v>1</v>
      </c>
      <c r="G566" s="751"/>
      <c r="H566" s="778">
        <f t="shared" si="59"/>
        <v>0</v>
      </c>
      <c r="I566" s="833">
        <f t="shared" si="58"/>
        <v>1</v>
      </c>
      <c r="J566" s="747">
        <f t="shared" si="60"/>
        <v>0</v>
      </c>
      <c r="K566" s="650">
        <f t="shared" si="61"/>
        <v>0</v>
      </c>
    </row>
    <row r="567" spans="1:11" ht="24.95" customHeight="1">
      <c r="A567" s="794" t="s">
        <v>2812</v>
      </c>
      <c r="B567" s="795" t="s">
        <v>2813</v>
      </c>
      <c r="C567" s="751"/>
      <c r="D567" s="752"/>
      <c r="E567" s="753"/>
      <c r="F567" s="789">
        <v>0</v>
      </c>
      <c r="G567" s="751"/>
      <c r="H567" s="778" t="e">
        <f t="shared" si="59"/>
        <v>#DIV/0!</v>
      </c>
      <c r="I567" s="833">
        <f t="shared" si="58"/>
        <v>0</v>
      </c>
      <c r="J567" s="747">
        <f t="shared" si="60"/>
        <v>0</v>
      </c>
      <c r="K567" s="650" t="e">
        <f t="shared" si="61"/>
        <v>#DIV/0!</v>
      </c>
    </row>
    <row r="568" spans="1:11" ht="24.95" customHeight="1">
      <c r="A568" s="796" t="s">
        <v>2423</v>
      </c>
      <c r="B568" s="797" t="s">
        <v>2814</v>
      </c>
      <c r="C568" s="751"/>
      <c r="D568" s="752"/>
      <c r="E568" s="753"/>
      <c r="F568" s="789">
        <v>15</v>
      </c>
      <c r="G568" s="751"/>
      <c r="H568" s="778">
        <f t="shared" si="59"/>
        <v>0</v>
      </c>
      <c r="I568" s="833">
        <f t="shared" si="58"/>
        <v>15</v>
      </c>
      <c r="J568" s="747">
        <f t="shared" si="60"/>
        <v>0</v>
      </c>
      <c r="K568" s="650">
        <f t="shared" si="61"/>
        <v>0</v>
      </c>
    </row>
    <row r="569" spans="1:11" ht="24.95" customHeight="1">
      <c r="A569" s="750" t="s">
        <v>2817</v>
      </c>
      <c r="B569" s="452" t="s">
        <v>2818</v>
      </c>
      <c r="C569" s="751"/>
      <c r="D569" s="752"/>
      <c r="E569" s="753"/>
      <c r="F569" s="789">
        <v>0</v>
      </c>
      <c r="G569" s="751"/>
      <c r="H569" s="778" t="e">
        <f t="shared" si="59"/>
        <v>#DIV/0!</v>
      </c>
      <c r="I569" s="833">
        <f t="shared" si="58"/>
        <v>0</v>
      </c>
      <c r="J569" s="747">
        <f t="shared" si="60"/>
        <v>0</v>
      </c>
      <c r="K569" s="650" t="e">
        <f t="shared" si="61"/>
        <v>#DIV/0!</v>
      </c>
    </row>
    <row r="570" spans="1:11" ht="24.95" customHeight="1">
      <c r="A570" s="750" t="s">
        <v>2823</v>
      </c>
      <c r="B570" s="452" t="s">
        <v>2824</v>
      </c>
      <c r="C570" s="751"/>
      <c r="D570" s="751"/>
      <c r="E570" s="778"/>
      <c r="F570" s="834">
        <v>0</v>
      </c>
      <c r="G570" s="835"/>
      <c r="H570" s="778" t="e">
        <f t="shared" si="59"/>
        <v>#DIV/0!</v>
      </c>
      <c r="I570" s="833">
        <f t="shared" si="58"/>
        <v>0</v>
      </c>
      <c r="J570" s="747">
        <f t="shared" si="60"/>
        <v>0</v>
      </c>
      <c r="K570" s="650" t="e">
        <f t="shared" si="61"/>
        <v>#DIV/0!</v>
      </c>
    </row>
    <row r="571" spans="1:11" ht="24.95" customHeight="1">
      <c r="A571" s="750" t="s">
        <v>2825</v>
      </c>
      <c r="B571" s="452" t="s">
        <v>2826</v>
      </c>
      <c r="C571" s="751"/>
      <c r="D571" s="752"/>
      <c r="E571" s="753"/>
      <c r="F571" s="789">
        <v>0</v>
      </c>
      <c r="G571" s="751"/>
      <c r="H571" s="778" t="e">
        <f t="shared" si="59"/>
        <v>#DIV/0!</v>
      </c>
      <c r="I571" s="833">
        <f t="shared" si="58"/>
        <v>0</v>
      </c>
      <c r="J571" s="747">
        <f t="shared" si="60"/>
        <v>0</v>
      </c>
      <c r="K571" s="650" t="e">
        <f t="shared" si="61"/>
        <v>#DIV/0!</v>
      </c>
    </row>
    <row r="572" spans="1:11" ht="24.95" customHeight="1">
      <c r="A572" s="750" t="s">
        <v>2829</v>
      </c>
      <c r="B572" s="452" t="s">
        <v>2830</v>
      </c>
      <c r="C572" s="751"/>
      <c r="D572" s="752"/>
      <c r="E572" s="753"/>
      <c r="F572" s="789">
        <v>180</v>
      </c>
      <c r="G572" s="751">
        <v>123</v>
      </c>
      <c r="H572" s="778">
        <f t="shared" si="59"/>
        <v>0.68333333333333335</v>
      </c>
      <c r="I572" s="833">
        <f t="shared" si="58"/>
        <v>180</v>
      </c>
      <c r="J572" s="747">
        <f t="shared" si="60"/>
        <v>123</v>
      </c>
      <c r="K572" s="650">
        <f t="shared" si="61"/>
        <v>0.68333333333333335</v>
      </c>
    </row>
    <row r="573" spans="1:11" ht="24.95" customHeight="1">
      <c r="A573" s="787" t="s">
        <v>2831</v>
      </c>
      <c r="B573" s="760" t="s">
        <v>2832</v>
      </c>
      <c r="C573" s="751"/>
      <c r="D573" s="752"/>
      <c r="E573" s="753"/>
      <c r="F573" s="789">
        <v>15</v>
      </c>
      <c r="G573" s="751">
        <v>12</v>
      </c>
      <c r="H573" s="778">
        <f t="shared" si="59"/>
        <v>0.8</v>
      </c>
      <c r="I573" s="833">
        <f t="shared" si="58"/>
        <v>15</v>
      </c>
      <c r="J573" s="747">
        <f t="shared" si="60"/>
        <v>12</v>
      </c>
      <c r="K573" s="650">
        <f t="shared" si="61"/>
        <v>0.8</v>
      </c>
    </row>
    <row r="574" spans="1:11" ht="24.95" customHeight="1">
      <c r="A574" s="750" t="s">
        <v>2833</v>
      </c>
      <c r="B574" s="452" t="s">
        <v>2834</v>
      </c>
      <c r="C574" s="751"/>
      <c r="D574" s="752"/>
      <c r="E574" s="753"/>
      <c r="F574" s="789">
        <v>10</v>
      </c>
      <c r="G574" s="751">
        <v>2</v>
      </c>
      <c r="H574" s="778">
        <f t="shared" si="59"/>
        <v>0.2</v>
      </c>
      <c r="I574" s="833">
        <f t="shared" si="58"/>
        <v>10</v>
      </c>
      <c r="J574" s="747">
        <f t="shared" si="60"/>
        <v>2</v>
      </c>
      <c r="K574" s="650">
        <f t="shared" si="61"/>
        <v>0.2</v>
      </c>
    </row>
    <row r="575" spans="1:11" ht="24.95" customHeight="1">
      <c r="A575" s="750" t="s">
        <v>2835</v>
      </c>
      <c r="B575" s="452" t="s">
        <v>2836</v>
      </c>
      <c r="C575" s="751"/>
      <c r="D575" s="752"/>
      <c r="E575" s="753"/>
      <c r="F575" s="789">
        <v>0</v>
      </c>
      <c r="G575" s="751"/>
      <c r="H575" s="778" t="e">
        <f t="shared" si="59"/>
        <v>#DIV/0!</v>
      </c>
      <c r="I575" s="833">
        <f t="shared" si="58"/>
        <v>0</v>
      </c>
      <c r="J575" s="747">
        <f t="shared" si="60"/>
        <v>0</v>
      </c>
      <c r="K575" s="650" t="e">
        <f t="shared" si="61"/>
        <v>#DIV/0!</v>
      </c>
    </row>
    <row r="576" spans="1:11" ht="24.95" customHeight="1">
      <c r="A576" s="750" t="s">
        <v>2837</v>
      </c>
      <c r="B576" s="452" t="s">
        <v>2838</v>
      </c>
      <c r="C576" s="751"/>
      <c r="D576" s="752"/>
      <c r="E576" s="753"/>
      <c r="F576" s="789">
        <v>0</v>
      </c>
      <c r="G576" s="751"/>
      <c r="H576" s="778" t="e">
        <f t="shared" si="59"/>
        <v>#DIV/0!</v>
      </c>
      <c r="I576" s="833">
        <f t="shared" si="58"/>
        <v>0</v>
      </c>
      <c r="J576" s="747">
        <f t="shared" si="60"/>
        <v>0</v>
      </c>
      <c r="K576" s="650" t="e">
        <f t="shared" si="61"/>
        <v>#DIV/0!</v>
      </c>
    </row>
    <row r="577" spans="1:11" ht="24.95" customHeight="1">
      <c r="A577" s="750" t="s">
        <v>2841</v>
      </c>
      <c r="B577" s="452" t="s">
        <v>2842</v>
      </c>
      <c r="C577" s="751"/>
      <c r="D577" s="752"/>
      <c r="E577" s="753"/>
      <c r="F577" s="789">
        <v>2</v>
      </c>
      <c r="G577" s="751">
        <v>4</v>
      </c>
      <c r="H577" s="778">
        <f t="shared" si="59"/>
        <v>2</v>
      </c>
      <c r="I577" s="833">
        <f t="shared" si="58"/>
        <v>2</v>
      </c>
      <c r="J577" s="747">
        <f t="shared" si="60"/>
        <v>4</v>
      </c>
      <c r="K577" s="650">
        <f t="shared" si="61"/>
        <v>2</v>
      </c>
    </row>
    <row r="578" spans="1:11" ht="24.95" customHeight="1">
      <c r="A578" s="787" t="s">
        <v>155</v>
      </c>
      <c r="B578" s="760" t="s">
        <v>2845</v>
      </c>
      <c r="C578" s="751"/>
      <c r="D578" s="752"/>
      <c r="E578" s="753"/>
      <c r="F578" s="789">
        <v>20</v>
      </c>
      <c r="G578" s="751">
        <v>12</v>
      </c>
      <c r="H578" s="778">
        <f t="shared" si="59"/>
        <v>0.6</v>
      </c>
      <c r="I578" s="833">
        <f t="shared" si="58"/>
        <v>20</v>
      </c>
      <c r="J578" s="747">
        <f t="shared" si="60"/>
        <v>12</v>
      </c>
      <c r="K578" s="650">
        <f t="shared" si="61"/>
        <v>0.6</v>
      </c>
    </row>
    <row r="579" spans="1:11" ht="24.95" customHeight="1">
      <c r="A579" s="787" t="s">
        <v>2846</v>
      </c>
      <c r="B579" s="760" t="s">
        <v>2847</v>
      </c>
      <c r="C579" s="751"/>
      <c r="D579" s="752"/>
      <c r="E579" s="753"/>
      <c r="F579" s="789">
        <v>3</v>
      </c>
      <c r="G579" s="751">
        <v>3</v>
      </c>
      <c r="H579" s="778">
        <f t="shared" si="59"/>
        <v>1</v>
      </c>
      <c r="I579" s="833">
        <f t="shared" si="58"/>
        <v>3</v>
      </c>
      <c r="J579" s="747">
        <f t="shared" si="60"/>
        <v>3</v>
      </c>
      <c r="K579" s="650">
        <f t="shared" si="61"/>
        <v>1</v>
      </c>
    </row>
    <row r="580" spans="1:11" ht="24.95" customHeight="1">
      <c r="A580" s="762" t="s">
        <v>2848</v>
      </c>
      <c r="B580" s="452" t="s">
        <v>2849</v>
      </c>
      <c r="C580" s="751"/>
      <c r="D580" s="752"/>
      <c r="E580" s="753"/>
      <c r="F580" s="789">
        <v>1</v>
      </c>
      <c r="G580" s="751"/>
      <c r="H580" s="778">
        <f t="shared" si="59"/>
        <v>0</v>
      </c>
      <c r="I580" s="833">
        <f t="shared" si="58"/>
        <v>1</v>
      </c>
      <c r="J580" s="747">
        <f t="shared" si="60"/>
        <v>0</v>
      </c>
      <c r="K580" s="650">
        <f t="shared" si="61"/>
        <v>0</v>
      </c>
    </row>
    <row r="581" spans="1:11" ht="24.95" customHeight="1">
      <c r="A581" s="762" t="s">
        <v>3103</v>
      </c>
      <c r="B581" s="452" t="s">
        <v>2706</v>
      </c>
      <c r="C581" s="751"/>
      <c r="D581" s="752"/>
      <c r="E581" s="753"/>
      <c r="F581" s="789">
        <v>0</v>
      </c>
      <c r="G581" s="751"/>
      <c r="H581" s="778" t="e">
        <f t="shared" si="59"/>
        <v>#DIV/0!</v>
      </c>
      <c r="I581" s="833">
        <f t="shared" si="58"/>
        <v>0</v>
      </c>
      <c r="J581" s="747">
        <f t="shared" si="60"/>
        <v>0</v>
      </c>
      <c r="K581" s="650" t="e">
        <f t="shared" si="61"/>
        <v>#DIV/0!</v>
      </c>
    </row>
    <row r="582" spans="1:11" ht="24.95" customHeight="1">
      <c r="A582" s="762" t="s">
        <v>2850</v>
      </c>
      <c r="B582" s="452" t="s">
        <v>2851</v>
      </c>
      <c r="C582" s="751"/>
      <c r="D582" s="752"/>
      <c r="E582" s="753"/>
      <c r="F582" s="789">
        <v>55</v>
      </c>
      <c r="G582" s="751">
        <v>35</v>
      </c>
      <c r="H582" s="778">
        <f t="shared" si="59"/>
        <v>0.63636363636363635</v>
      </c>
      <c r="I582" s="833">
        <f t="shared" si="58"/>
        <v>55</v>
      </c>
      <c r="J582" s="747">
        <f t="shared" si="60"/>
        <v>35</v>
      </c>
      <c r="K582" s="650">
        <f t="shared" si="61"/>
        <v>0.63636363636363635</v>
      </c>
    </row>
    <row r="583" spans="1:11" ht="24.95" customHeight="1">
      <c r="A583" s="799" t="s">
        <v>2852</v>
      </c>
      <c r="B583" s="760" t="s">
        <v>2853</v>
      </c>
      <c r="C583" s="751"/>
      <c r="D583" s="752"/>
      <c r="E583" s="753"/>
      <c r="F583" s="789">
        <v>0</v>
      </c>
      <c r="G583" s="751"/>
      <c r="H583" s="778" t="e">
        <f t="shared" si="59"/>
        <v>#DIV/0!</v>
      </c>
      <c r="I583" s="833">
        <f t="shared" si="58"/>
        <v>0</v>
      </c>
      <c r="J583" s="747">
        <f t="shared" si="60"/>
        <v>0</v>
      </c>
      <c r="K583" s="650" t="e">
        <f t="shared" si="61"/>
        <v>#DIV/0!</v>
      </c>
    </row>
    <row r="584" spans="1:11" ht="24.95" customHeight="1">
      <c r="A584" s="762" t="s">
        <v>2856</v>
      </c>
      <c r="B584" s="452" t="s">
        <v>2857</v>
      </c>
      <c r="C584" s="751"/>
      <c r="D584" s="752"/>
      <c r="E584" s="753"/>
      <c r="F584" s="789">
        <v>0</v>
      </c>
      <c r="G584" s="751"/>
      <c r="H584" s="778" t="e">
        <f t="shared" si="59"/>
        <v>#DIV/0!</v>
      </c>
      <c r="I584" s="833">
        <f t="shared" si="58"/>
        <v>0</v>
      </c>
      <c r="J584" s="747">
        <f t="shared" si="60"/>
        <v>0</v>
      </c>
      <c r="K584" s="650" t="e">
        <f t="shared" si="61"/>
        <v>#DIV/0!</v>
      </c>
    </row>
    <row r="585" spans="1:11" ht="24.95" customHeight="1">
      <c r="A585" s="759" t="s">
        <v>2858</v>
      </c>
      <c r="B585" s="760" t="s">
        <v>2859</v>
      </c>
      <c r="C585" s="751"/>
      <c r="D585" s="752"/>
      <c r="E585" s="753"/>
      <c r="F585" s="789">
        <v>105</v>
      </c>
      <c r="G585" s="751">
        <v>67</v>
      </c>
      <c r="H585" s="778">
        <f t="shared" si="59"/>
        <v>0.63809523809523805</v>
      </c>
      <c r="I585" s="833">
        <f t="shared" si="58"/>
        <v>105</v>
      </c>
      <c r="J585" s="747">
        <f t="shared" si="60"/>
        <v>67</v>
      </c>
      <c r="K585" s="650">
        <f t="shared" si="61"/>
        <v>0.63809523809523805</v>
      </c>
    </row>
    <row r="586" spans="1:11" ht="24.95" customHeight="1">
      <c r="A586" s="759" t="s">
        <v>3104</v>
      </c>
      <c r="B586" s="760" t="s">
        <v>3105</v>
      </c>
      <c r="C586" s="751"/>
      <c r="D586" s="752"/>
      <c r="E586" s="753"/>
      <c r="F586" s="789">
        <v>2</v>
      </c>
      <c r="G586" s="751"/>
      <c r="H586" s="778">
        <f t="shared" si="59"/>
        <v>0</v>
      </c>
      <c r="I586" s="833">
        <f t="shared" si="58"/>
        <v>2</v>
      </c>
      <c r="J586" s="747">
        <f t="shared" si="60"/>
        <v>0</v>
      </c>
      <c r="K586" s="650">
        <f t="shared" si="61"/>
        <v>0</v>
      </c>
    </row>
    <row r="587" spans="1:11" ht="24.95" customHeight="1">
      <c r="A587" s="456" t="s">
        <v>2429</v>
      </c>
      <c r="B587" s="452" t="s">
        <v>2430</v>
      </c>
      <c r="C587" s="751"/>
      <c r="D587" s="752"/>
      <c r="E587" s="753"/>
      <c r="F587" s="789">
        <v>0</v>
      </c>
      <c r="G587" s="751"/>
      <c r="H587" s="778" t="e">
        <f t="shared" si="59"/>
        <v>#DIV/0!</v>
      </c>
      <c r="I587" s="833">
        <f t="shared" si="58"/>
        <v>0</v>
      </c>
      <c r="J587" s="747">
        <f t="shared" si="60"/>
        <v>0</v>
      </c>
      <c r="K587" s="650" t="e">
        <f t="shared" si="61"/>
        <v>#DIV/0!</v>
      </c>
    </row>
    <row r="588" spans="1:11" ht="24.95" customHeight="1">
      <c r="A588" s="801" t="s">
        <v>2864</v>
      </c>
      <c r="B588" s="802" t="s">
        <v>2865</v>
      </c>
      <c r="C588" s="751"/>
      <c r="D588" s="752"/>
      <c r="E588" s="753"/>
      <c r="F588" s="789">
        <v>5</v>
      </c>
      <c r="G588" s="751">
        <v>1</v>
      </c>
      <c r="H588" s="778">
        <f t="shared" si="59"/>
        <v>0.2</v>
      </c>
      <c r="I588" s="833">
        <f t="shared" si="58"/>
        <v>5</v>
      </c>
      <c r="J588" s="747">
        <f t="shared" si="60"/>
        <v>1</v>
      </c>
      <c r="K588" s="650">
        <f t="shared" si="61"/>
        <v>0.2</v>
      </c>
    </row>
    <row r="589" spans="1:11" ht="24.95" customHeight="1">
      <c r="A589" s="801" t="s">
        <v>3010</v>
      </c>
      <c r="B589" s="802" t="s">
        <v>3011</v>
      </c>
      <c r="C589" s="751"/>
      <c r="D589" s="752"/>
      <c r="E589" s="753"/>
      <c r="F589" s="789">
        <v>5</v>
      </c>
      <c r="G589" s="751">
        <v>8</v>
      </c>
      <c r="H589" s="778">
        <f t="shared" si="59"/>
        <v>1.6</v>
      </c>
      <c r="I589" s="833">
        <f t="shared" si="58"/>
        <v>5</v>
      </c>
      <c r="J589" s="747">
        <f t="shared" si="60"/>
        <v>8</v>
      </c>
      <c r="K589" s="650">
        <f t="shared" si="61"/>
        <v>1.6</v>
      </c>
    </row>
    <row r="590" spans="1:11" ht="24.95" customHeight="1">
      <c r="A590" s="798" t="s">
        <v>2866</v>
      </c>
      <c r="B590" s="760" t="s">
        <v>2867</v>
      </c>
      <c r="C590" s="751"/>
      <c r="D590" s="752"/>
      <c r="E590" s="753"/>
      <c r="F590" s="789">
        <v>2</v>
      </c>
      <c r="G590" s="751"/>
      <c r="H590" s="778">
        <f t="shared" si="59"/>
        <v>0</v>
      </c>
      <c r="I590" s="833">
        <f t="shared" si="58"/>
        <v>2</v>
      </c>
      <c r="J590" s="747">
        <f t="shared" si="60"/>
        <v>0</v>
      </c>
      <c r="K590" s="650">
        <f t="shared" si="61"/>
        <v>0</v>
      </c>
    </row>
    <row r="591" spans="1:11" ht="24.95" customHeight="1">
      <c r="A591" s="798" t="s">
        <v>2868</v>
      </c>
      <c r="B591" s="760" t="s">
        <v>2869</v>
      </c>
      <c r="C591" s="751"/>
      <c r="D591" s="752"/>
      <c r="E591" s="753"/>
      <c r="F591" s="789">
        <v>15</v>
      </c>
      <c r="G591" s="751"/>
      <c r="H591" s="778">
        <f t="shared" si="59"/>
        <v>0</v>
      </c>
      <c r="I591" s="833">
        <f t="shared" si="58"/>
        <v>15</v>
      </c>
      <c r="J591" s="747">
        <f t="shared" si="60"/>
        <v>0</v>
      </c>
      <c r="K591" s="650">
        <f t="shared" si="61"/>
        <v>0</v>
      </c>
    </row>
    <row r="592" spans="1:11" ht="24.95" customHeight="1">
      <c r="A592" s="801" t="s">
        <v>2870</v>
      </c>
      <c r="B592" s="802" t="s">
        <v>2192</v>
      </c>
      <c r="C592" s="751"/>
      <c r="D592" s="752"/>
      <c r="E592" s="753"/>
      <c r="F592" s="789">
        <v>16</v>
      </c>
      <c r="G592" s="751">
        <v>26</v>
      </c>
      <c r="H592" s="778">
        <f t="shared" si="59"/>
        <v>1.625</v>
      </c>
      <c r="I592" s="833">
        <f t="shared" si="58"/>
        <v>16</v>
      </c>
      <c r="J592" s="747">
        <f t="shared" si="60"/>
        <v>26</v>
      </c>
      <c r="K592" s="650">
        <f t="shared" si="61"/>
        <v>1.625</v>
      </c>
    </row>
    <row r="593" spans="1:11" ht="24.95" customHeight="1">
      <c r="A593" s="750" t="s">
        <v>2871</v>
      </c>
      <c r="B593" s="452" t="s">
        <v>2872</v>
      </c>
      <c r="C593" s="751"/>
      <c r="D593" s="752"/>
      <c r="E593" s="753"/>
      <c r="F593" s="789">
        <v>0</v>
      </c>
      <c r="G593" s="751"/>
      <c r="H593" s="778" t="e">
        <f t="shared" si="59"/>
        <v>#DIV/0!</v>
      </c>
      <c r="I593" s="833">
        <f t="shared" si="58"/>
        <v>0</v>
      </c>
      <c r="J593" s="747">
        <f t="shared" si="60"/>
        <v>0</v>
      </c>
      <c r="K593" s="650" t="e">
        <f t="shared" si="61"/>
        <v>#DIV/0!</v>
      </c>
    </row>
    <row r="594" spans="1:11" ht="24.95" customHeight="1">
      <c r="A594" s="808" t="s">
        <v>2439</v>
      </c>
      <c r="B594" s="760" t="s">
        <v>2440</v>
      </c>
      <c r="C594" s="751"/>
      <c r="D594" s="752"/>
      <c r="E594" s="753"/>
      <c r="F594" s="789">
        <v>235</v>
      </c>
      <c r="G594" s="751">
        <v>173</v>
      </c>
      <c r="H594" s="778">
        <f t="shared" si="59"/>
        <v>0.7361702127659574</v>
      </c>
      <c r="I594" s="833">
        <f t="shared" si="58"/>
        <v>235</v>
      </c>
      <c r="J594" s="747">
        <f t="shared" si="60"/>
        <v>173</v>
      </c>
      <c r="K594" s="650">
        <f t="shared" si="61"/>
        <v>0.7361702127659574</v>
      </c>
    </row>
    <row r="595" spans="1:11" ht="24.95" customHeight="1">
      <c r="A595" s="762" t="s">
        <v>2896</v>
      </c>
      <c r="B595" s="452" t="s">
        <v>2897</v>
      </c>
      <c r="C595" s="751"/>
      <c r="D595" s="752"/>
      <c r="E595" s="753"/>
      <c r="F595" s="789">
        <v>0</v>
      </c>
      <c r="G595" s="751"/>
      <c r="H595" s="778" t="e">
        <f t="shared" si="59"/>
        <v>#DIV/0!</v>
      </c>
      <c r="I595" s="833">
        <f t="shared" si="58"/>
        <v>0</v>
      </c>
      <c r="J595" s="747">
        <f t="shared" si="60"/>
        <v>0</v>
      </c>
      <c r="K595" s="650" t="e">
        <f t="shared" si="61"/>
        <v>#DIV/0!</v>
      </c>
    </row>
    <row r="596" spans="1:11" ht="24.95" customHeight="1">
      <c r="A596" s="750" t="s">
        <v>2455</v>
      </c>
      <c r="B596" s="452" t="s">
        <v>2456</v>
      </c>
      <c r="C596" s="751"/>
      <c r="D596" s="752"/>
      <c r="E596" s="753"/>
      <c r="F596" s="789">
        <v>0</v>
      </c>
      <c r="G596" s="751"/>
      <c r="H596" s="778" t="e">
        <f t="shared" si="59"/>
        <v>#DIV/0!</v>
      </c>
      <c r="I596" s="833">
        <f t="shared" si="58"/>
        <v>0</v>
      </c>
      <c r="J596" s="747">
        <f t="shared" si="60"/>
        <v>0</v>
      </c>
      <c r="K596" s="650" t="e">
        <f t="shared" si="61"/>
        <v>#DIV/0!</v>
      </c>
    </row>
    <row r="597" spans="1:11" ht="24.95" customHeight="1">
      <c r="A597" s="762" t="s">
        <v>2467</v>
      </c>
      <c r="B597" s="452" t="s">
        <v>2468</v>
      </c>
      <c r="C597" s="751"/>
      <c r="D597" s="752"/>
      <c r="E597" s="753"/>
      <c r="F597" s="789">
        <v>0</v>
      </c>
      <c r="G597" s="751"/>
      <c r="H597" s="778" t="e">
        <f t="shared" si="59"/>
        <v>#DIV/0!</v>
      </c>
      <c r="I597" s="833">
        <f t="shared" si="58"/>
        <v>0</v>
      </c>
      <c r="J597" s="747">
        <f t="shared" si="60"/>
        <v>0</v>
      </c>
      <c r="K597" s="650" t="e">
        <f t="shared" si="61"/>
        <v>#DIV/0!</v>
      </c>
    </row>
    <row r="598" spans="1:11" ht="24.95" customHeight="1">
      <c r="A598" s="762" t="s">
        <v>2469</v>
      </c>
      <c r="B598" s="452" t="s">
        <v>2470</v>
      </c>
      <c r="C598" s="751"/>
      <c r="D598" s="752"/>
      <c r="E598" s="753"/>
      <c r="F598" s="789">
        <v>0</v>
      </c>
      <c r="G598" s="751"/>
      <c r="H598" s="778" t="e">
        <f t="shared" si="59"/>
        <v>#DIV/0!</v>
      </c>
      <c r="I598" s="833">
        <f t="shared" si="58"/>
        <v>0</v>
      </c>
      <c r="J598" s="747">
        <f t="shared" si="60"/>
        <v>0</v>
      </c>
      <c r="K598" s="650" t="e">
        <f t="shared" si="61"/>
        <v>#DIV/0!</v>
      </c>
    </row>
    <row r="599" spans="1:11" ht="24.95" customHeight="1">
      <c r="A599" s="762" t="s">
        <v>2908</v>
      </c>
      <c r="B599" s="788" t="s">
        <v>2476</v>
      </c>
      <c r="C599" s="751"/>
      <c r="D599" s="752"/>
      <c r="E599" s="753"/>
      <c r="F599" s="789">
        <v>0</v>
      </c>
      <c r="G599" s="751"/>
      <c r="H599" s="778" t="e">
        <f t="shared" si="59"/>
        <v>#DIV/0!</v>
      </c>
      <c r="I599" s="833">
        <f t="shared" si="58"/>
        <v>0</v>
      </c>
      <c r="J599" s="747">
        <f t="shared" si="60"/>
        <v>0</v>
      </c>
      <c r="K599" s="650" t="e">
        <f t="shared" si="61"/>
        <v>#DIV/0!</v>
      </c>
    </row>
    <row r="600" spans="1:11" ht="24.95" customHeight="1">
      <c r="A600" s="762" t="s">
        <v>2911</v>
      </c>
      <c r="B600" s="788" t="s">
        <v>3106</v>
      </c>
      <c r="C600" s="751"/>
      <c r="D600" s="752"/>
      <c r="E600" s="753"/>
      <c r="F600" s="789">
        <v>1</v>
      </c>
      <c r="G600" s="751"/>
      <c r="H600" s="778">
        <f t="shared" si="59"/>
        <v>0</v>
      </c>
      <c r="I600" s="833">
        <f t="shared" si="58"/>
        <v>1</v>
      </c>
      <c r="J600" s="747">
        <f t="shared" si="60"/>
        <v>0</v>
      </c>
      <c r="K600" s="650">
        <f t="shared" si="61"/>
        <v>0</v>
      </c>
    </row>
    <row r="601" spans="1:11" ht="24.95" customHeight="1">
      <c r="A601" s="762" t="s">
        <v>2913</v>
      </c>
      <c r="B601" s="452" t="s">
        <v>2914</v>
      </c>
      <c r="C601" s="751"/>
      <c r="D601" s="752"/>
      <c r="E601" s="753"/>
      <c r="F601" s="789">
        <v>8</v>
      </c>
      <c r="G601" s="751">
        <v>10</v>
      </c>
      <c r="H601" s="778">
        <f t="shared" si="59"/>
        <v>1.25</v>
      </c>
      <c r="I601" s="833">
        <f t="shared" si="58"/>
        <v>8</v>
      </c>
      <c r="J601" s="747">
        <f t="shared" si="60"/>
        <v>10</v>
      </c>
      <c r="K601" s="650">
        <f t="shared" si="61"/>
        <v>1.25</v>
      </c>
    </row>
    <row r="602" spans="1:11" ht="24.95" customHeight="1">
      <c r="A602" s="762" t="s">
        <v>2917</v>
      </c>
      <c r="B602" s="452" t="s">
        <v>2918</v>
      </c>
      <c r="C602" s="751"/>
      <c r="D602" s="752"/>
      <c r="E602" s="753"/>
      <c r="F602" s="789">
        <v>0</v>
      </c>
      <c r="G602" s="751"/>
      <c r="H602" s="778" t="e">
        <f t="shared" si="59"/>
        <v>#DIV/0!</v>
      </c>
      <c r="I602" s="833">
        <f t="shared" si="58"/>
        <v>0</v>
      </c>
      <c r="J602" s="747">
        <f t="shared" si="60"/>
        <v>0</v>
      </c>
      <c r="K602" s="650" t="e">
        <f t="shared" si="61"/>
        <v>#DIV/0!</v>
      </c>
    </row>
    <row r="603" spans="1:11" ht="24.95" customHeight="1">
      <c r="A603" s="762" t="s">
        <v>2919</v>
      </c>
      <c r="B603" s="452" t="s">
        <v>2920</v>
      </c>
      <c r="C603" s="751"/>
      <c r="D603" s="752"/>
      <c r="E603" s="753"/>
      <c r="F603" s="789">
        <v>5</v>
      </c>
      <c r="G603" s="751">
        <v>12</v>
      </c>
      <c r="H603" s="778">
        <f t="shared" si="59"/>
        <v>2.4</v>
      </c>
      <c r="I603" s="833">
        <f t="shared" si="58"/>
        <v>5</v>
      </c>
      <c r="J603" s="747">
        <f t="shared" si="60"/>
        <v>12</v>
      </c>
      <c r="K603" s="650">
        <f t="shared" si="61"/>
        <v>2.4</v>
      </c>
    </row>
    <row r="604" spans="1:11" ht="24.95" customHeight="1">
      <c r="A604" s="787" t="s">
        <v>2929</v>
      </c>
      <c r="B604" s="760" t="s">
        <v>2930</v>
      </c>
      <c r="C604" s="751"/>
      <c r="D604" s="752"/>
      <c r="E604" s="753"/>
      <c r="F604" s="789">
        <v>2</v>
      </c>
      <c r="G604" s="751"/>
      <c r="H604" s="778">
        <f t="shared" si="59"/>
        <v>0</v>
      </c>
      <c r="I604" s="833">
        <f t="shared" si="58"/>
        <v>2</v>
      </c>
      <c r="J604" s="747">
        <f t="shared" si="60"/>
        <v>0</v>
      </c>
      <c r="K604" s="650">
        <f t="shared" si="61"/>
        <v>0</v>
      </c>
    </row>
    <row r="605" spans="1:11" ht="24.95" customHeight="1">
      <c r="A605" s="456" t="s">
        <v>2933</v>
      </c>
      <c r="B605" s="452" t="s">
        <v>2934</v>
      </c>
      <c r="C605" s="751"/>
      <c r="D605" s="752"/>
      <c r="E605" s="753"/>
      <c r="F605" s="789">
        <v>0</v>
      </c>
      <c r="G605" s="751"/>
      <c r="H605" s="778" t="e">
        <f t="shared" si="59"/>
        <v>#DIV/0!</v>
      </c>
      <c r="I605" s="833">
        <f t="shared" si="58"/>
        <v>0</v>
      </c>
      <c r="J605" s="747">
        <f t="shared" si="60"/>
        <v>0</v>
      </c>
      <c r="K605" s="650" t="e">
        <f t="shared" si="61"/>
        <v>#DIV/0!</v>
      </c>
    </row>
    <row r="606" spans="1:11" ht="24.95" customHeight="1">
      <c r="A606" s="456" t="s">
        <v>2481</v>
      </c>
      <c r="B606" s="452" t="s">
        <v>2935</v>
      </c>
      <c r="C606" s="751"/>
      <c r="D606" s="752"/>
      <c r="E606" s="753"/>
      <c r="F606" s="789">
        <v>0</v>
      </c>
      <c r="G606" s="751"/>
      <c r="H606" s="778" t="e">
        <f t="shared" si="59"/>
        <v>#DIV/0!</v>
      </c>
      <c r="I606" s="833">
        <f t="shared" si="58"/>
        <v>0</v>
      </c>
      <c r="J606" s="747">
        <f t="shared" si="60"/>
        <v>0</v>
      </c>
      <c r="K606" s="650" t="e">
        <f t="shared" si="61"/>
        <v>#DIV/0!</v>
      </c>
    </row>
    <row r="607" spans="1:11" ht="24.95" customHeight="1">
      <c r="A607" s="456" t="s">
        <v>2938</v>
      </c>
      <c r="B607" s="452" t="s">
        <v>2939</v>
      </c>
      <c r="C607" s="751"/>
      <c r="D607" s="752"/>
      <c r="E607" s="753"/>
      <c r="F607" s="789">
        <v>5</v>
      </c>
      <c r="G607" s="751">
        <v>2</v>
      </c>
      <c r="H607" s="778">
        <f t="shared" si="59"/>
        <v>0.4</v>
      </c>
      <c r="I607" s="833">
        <f t="shared" si="58"/>
        <v>5</v>
      </c>
      <c r="J607" s="747">
        <f t="shared" si="60"/>
        <v>2</v>
      </c>
      <c r="K607" s="650">
        <f t="shared" si="61"/>
        <v>0.4</v>
      </c>
    </row>
    <row r="608" spans="1:11" ht="24.95" customHeight="1">
      <c r="A608" s="750" t="s">
        <v>3107</v>
      </c>
      <c r="B608" s="452" t="s">
        <v>2943</v>
      </c>
      <c r="C608" s="751"/>
      <c r="D608" s="752"/>
      <c r="E608" s="753"/>
      <c r="F608" s="789">
        <v>2</v>
      </c>
      <c r="G608" s="751"/>
      <c r="H608" s="778">
        <f t="shared" si="59"/>
        <v>0</v>
      </c>
      <c r="I608" s="833">
        <f t="shared" si="58"/>
        <v>2</v>
      </c>
      <c r="J608" s="747">
        <f t="shared" si="60"/>
        <v>0</v>
      </c>
      <c r="K608" s="650">
        <f t="shared" si="61"/>
        <v>0</v>
      </c>
    </row>
    <row r="609" spans="1:11" ht="24.95" customHeight="1">
      <c r="A609" s="456" t="s">
        <v>2548</v>
      </c>
      <c r="B609" s="452" t="s">
        <v>2549</v>
      </c>
      <c r="C609" s="751"/>
      <c r="D609" s="752"/>
      <c r="E609" s="753"/>
      <c r="F609" s="789">
        <v>1</v>
      </c>
      <c r="G609" s="751">
        <v>1</v>
      </c>
      <c r="H609" s="778">
        <f t="shared" si="59"/>
        <v>1</v>
      </c>
      <c r="I609" s="821">
        <f t="shared" si="58"/>
        <v>1</v>
      </c>
      <c r="J609" s="747">
        <f t="shared" si="60"/>
        <v>1</v>
      </c>
      <c r="K609" s="650">
        <f t="shared" si="61"/>
        <v>1</v>
      </c>
    </row>
    <row r="610" spans="1:11" ht="24.95" customHeight="1">
      <c r="A610" s="750" t="s">
        <v>2944</v>
      </c>
      <c r="B610" s="452" t="s">
        <v>3108</v>
      </c>
      <c r="C610" s="751"/>
      <c r="D610" s="752"/>
      <c r="E610" s="753"/>
      <c r="F610" s="789">
        <v>10</v>
      </c>
      <c r="G610" s="751">
        <v>4</v>
      </c>
      <c r="H610" s="778">
        <f t="shared" si="59"/>
        <v>0.4</v>
      </c>
      <c r="I610" s="833">
        <f t="shared" si="58"/>
        <v>10</v>
      </c>
      <c r="J610" s="747">
        <f t="shared" si="60"/>
        <v>4</v>
      </c>
      <c r="K610" s="650">
        <f t="shared" si="61"/>
        <v>0.4</v>
      </c>
    </row>
    <row r="611" spans="1:11" ht="24.95" customHeight="1">
      <c r="A611" s="750" t="s">
        <v>2554</v>
      </c>
      <c r="B611" s="452" t="s">
        <v>3109</v>
      </c>
      <c r="C611" s="751"/>
      <c r="D611" s="752"/>
      <c r="E611" s="753"/>
      <c r="F611" s="789">
        <v>2</v>
      </c>
      <c r="G611" s="751">
        <v>1</v>
      </c>
      <c r="H611" s="778">
        <f t="shared" si="59"/>
        <v>0.5</v>
      </c>
      <c r="I611" s="833">
        <f t="shared" si="58"/>
        <v>2</v>
      </c>
      <c r="J611" s="747">
        <f t="shared" si="60"/>
        <v>1</v>
      </c>
      <c r="K611" s="650">
        <f t="shared" si="61"/>
        <v>0.5</v>
      </c>
    </row>
    <row r="612" spans="1:11" ht="24.95" customHeight="1">
      <c r="A612" s="750" t="s">
        <v>1933</v>
      </c>
      <c r="B612" s="452" t="s">
        <v>2948</v>
      </c>
      <c r="C612" s="751"/>
      <c r="D612" s="752"/>
      <c r="E612" s="753"/>
      <c r="F612" s="789">
        <v>1</v>
      </c>
      <c r="G612" s="751"/>
      <c r="H612" s="778">
        <f t="shared" si="59"/>
        <v>0</v>
      </c>
      <c r="I612" s="833">
        <f t="shared" si="58"/>
        <v>1</v>
      </c>
      <c r="J612" s="747">
        <f t="shared" si="60"/>
        <v>0</v>
      </c>
      <c r="K612" s="650">
        <f t="shared" si="61"/>
        <v>0</v>
      </c>
    </row>
    <row r="613" spans="1:11" ht="24.95" customHeight="1">
      <c r="A613" s="750" t="s">
        <v>2959</v>
      </c>
      <c r="B613" s="788" t="s">
        <v>2960</v>
      </c>
      <c r="C613" s="751"/>
      <c r="D613" s="752"/>
      <c r="E613" s="753"/>
      <c r="F613" s="789">
        <v>5</v>
      </c>
      <c r="G613" s="751">
        <v>3</v>
      </c>
      <c r="H613" s="778">
        <f t="shared" si="59"/>
        <v>0.6</v>
      </c>
      <c r="I613" s="833">
        <f t="shared" si="58"/>
        <v>5</v>
      </c>
      <c r="J613" s="747">
        <f t="shared" si="60"/>
        <v>3</v>
      </c>
      <c r="K613" s="650">
        <f t="shared" si="61"/>
        <v>0.6</v>
      </c>
    </row>
    <row r="614" spans="1:11" ht="24.95" customHeight="1">
      <c r="A614" s="787" t="s">
        <v>2327</v>
      </c>
      <c r="B614" s="760" t="s">
        <v>2328</v>
      </c>
      <c r="C614" s="751"/>
      <c r="D614" s="752"/>
      <c r="E614" s="753"/>
      <c r="F614" s="789">
        <v>2</v>
      </c>
      <c r="G614" s="751"/>
      <c r="H614" s="778">
        <f t="shared" si="59"/>
        <v>0</v>
      </c>
      <c r="I614" s="833">
        <f t="shared" si="58"/>
        <v>2</v>
      </c>
      <c r="J614" s="747">
        <f t="shared" si="60"/>
        <v>0</v>
      </c>
      <c r="K614" s="650">
        <f t="shared" si="61"/>
        <v>0</v>
      </c>
    </row>
    <row r="615" spans="1:11" ht="24.95" customHeight="1">
      <c r="A615" s="787" t="s">
        <v>2176</v>
      </c>
      <c r="B615" s="760" t="s">
        <v>2177</v>
      </c>
      <c r="C615" s="751"/>
      <c r="D615" s="752"/>
      <c r="E615" s="753"/>
      <c r="F615" s="789">
        <v>5</v>
      </c>
      <c r="G615" s="751"/>
      <c r="H615" s="778">
        <f t="shared" si="59"/>
        <v>0</v>
      </c>
      <c r="I615" s="833">
        <f t="shared" si="58"/>
        <v>5</v>
      </c>
      <c r="J615" s="747">
        <f t="shared" si="60"/>
        <v>0</v>
      </c>
      <c r="K615" s="650">
        <f t="shared" si="61"/>
        <v>0</v>
      </c>
    </row>
    <row r="616" spans="1:11" ht="24.95" customHeight="1">
      <c r="A616" s="787" t="s">
        <v>2620</v>
      </c>
      <c r="B616" s="760" t="s">
        <v>2621</v>
      </c>
      <c r="C616" s="751"/>
      <c r="D616" s="752"/>
      <c r="E616" s="753"/>
      <c r="F616" s="789">
        <v>10</v>
      </c>
      <c r="G616" s="751">
        <v>1</v>
      </c>
      <c r="H616" s="778">
        <f t="shared" si="59"/>
        <v>0.1</v>
      </c>
      <c r="I616" s="833">
        <f t="shared" si="58"/>
        <v>10</v>
      </c>
      <c r="J616" s="747">
        <f t="shared" si="60"/>
        <v>1</v>
      </c>
      <c r="K616" s="650">
        <f t="shared" si="61"/>
        <v>0.1</v>
      </c>
    </row>
    <row r="617" spans="1:11" ht="24.95" customHeight="1">
      <c r="A617" s="787" t="s">
        <v>2624</v>
      </c>
      <c r="B617" s="760" t="s">
        <v>2330</v>
      </c>
      <c r="C617" s="751"/>
      <c r="D617" s="752"/>
      <c r="E617" s="753"/>
      <c r="F617" s="789">
        <v>150</v>
      </c>
      <c r="G617" s="751">
        <v>108</v>
      </c>
      <c r="H617" s="778">
        <f t="shared" si="59"/>
        <v>0.72</v>
      </c>
      <c r="I617" s="833">
        <f t="shared" si="58"/>
        <v>150</v>
      </c>
      <c r="J617" s="747">
        <f t="shared" si="60"/>
        <v>108</v>
      </c>
      <c r="K617" s="650">
        <f t="shared" si="61"/>
        <v>0.72</v>
      </c>
    </row>
    <row r="618" spans="1:11" ht="24.95" customHeight="1">
      <c r="A618" s="787" t="s">
        <v>2331</v>
      </c>
      <c r="B618" s="760" t="s">
        <v>2332</v>
      </c>
      <c r="C618" s="751"/>
      <c r="D618" s="752"/>
      <c r="E618" s="753"/>
      <c r="F618" s="789">
        <v>10</v>
      </c>
      <c r="G618" s="751">
        <v>1</v>
      </c>
      <c r="H618" s="778">
        <f t="shared" si="59"/>
        <v>0.1</v>
      </c>
      <c r="I618" s="833">
        <f t="shared" si="58"/>
        <v>10</v>
      </c>
      <c r="J618" s="747">
        <f t="shared" si="60"/>
        <v>1</v>
      </c>
      <c r="K618" s="650">
        <f t="shared" si="61"/>
        <v>0.1</v>
      </c>
    </row>
    <row r="619" spans="1:11" ht="24.95" customHeight="1">
      <c r="A619" s="759" t="s">
        <v>2627</v>
      </c>
      <c r="B619" s="788" t="s">
        <v>2628</v>
      </c>
      <c r="C619" s="751"/>
      <c r="D619" s="752"/>
      <c r="E619" s="753"/>
      <c r="F619" s="789"/>
      <c r="G619" s="751"/>
      <c r="H619" s="778" t="e">
        <f t="shared" si="59"/>
        <v>#DIV/0!</v>
      </c>
      <c r="I619" s="833">
        <f t="shared" ref="I619:I629" si="62">+C619+F619</f>
        <v>0</v>
      </c>
      <c r="J619" s="747">
        <f t="shared" si="60"/>
        <v>0</v>
      </c>
      <c r="K619" s="650" t="e">
        <f t="shared" si="61"/>
        <v>#DIV/0!</v>
      </c>
    </row>
    <row r="620" spans="1:11" ht="24.95" customHeight="1">
      <c r="A620" s="787" t="s">
        <v>2629</v>
      </c>
      <c r="B620" s="760" t="s">
        <v>2630</v>
      </c>
      <c r="C620" s="751"/>
      <c r="D620" s="752"/>
      <c r="E620" s="753"/>
      <c r="F620" s="789">
        <v>10</v>
      </c>
      <c r="G620" s="751">
        <v>3</v>
      </c>
      <c r="H620" s="778">
        <f t="shared" ref="H620:H633" si="63">+G620/F620</f>
        <v>0.3</v>
      </c>
      <c r="I620" s="833">
        <f t="shared" si="62"/>
        <v>10</v>
      </c>
      <c r="J620" s="747">
        <f t="shared" ref="J620:J629" si="64">+G620</f>
        <v>3</v>
      </c>
      <c r="K620" s="650">
        <f t="shared" ref="K620:K633" si="65">+J620/I620</f>
        <v>0.3</v>
      </c>
    </row>
    <row r="621" spans="1:11" ht="24.95" customHeight="1">
      <c r="A621" s="787" t="s">
        <v>2631</v>
      </c>
      <c r="B621" s="760" t="s">
        <v>2632</v>
      </c>
      <c r="C621" s="751"/>
      <c r="D621" s="752"/>
      <c r="E621" s="753"/>
      <c r="F621" s="789">
        <v>260</v>
      </c>
      <c r="G621" s="751">
        <v>187</v>
      </c>
      <c r="H621" s="778">
        <f t="shared" si="63"/>
        <v>0.71923076923076923</v>
      </c>
      <c r="I621" s="833">
        <f t="shared" si="62"/>
        <v>260</v>
      </c>
      <c r="J621" s="747">
        <f t="shared" si="64"/>
        <v>187</v>
      </c>
      <c r="K621" s="650">
        <f t="shared" si="65"/>
        <v>0.71923076923076923</v>
      </c>
    </row>
    <row r="622" spans="1:11" ht="24.95" customHeight="1">
      <c r="A622" s="787" t="s">
        <v>2178</v>
      </c>
      <c r="B622" s="760" t="s">
        <v>2179</v>
      </c>
      <c r="C622" s="751"/>
      <c r="D622" s="752"/>
      <c r="E622" s="753"/>
      <c r="F622" s="789">
        <v>100</v>
      </c>
      <c r="G622" s="751">
        <v>72</v>
      </c>
      <c r="H622" s="778">
        <f t="shared" si="63"/>
        <v>0.72</v>
      </c>
      <c r="I622" s="833">
        <f>+C622+F622</f>
        <v>100</v>
      </c>
      <c r="J622" s="747">
        <f t="shared" si="64"/>
        <v>72</v>
      </c>
      <c r="K622" s="650">
        <f t="shared" si="65"/>
        <v>0.72</v>
      </c>
    </row>
    <row r="623" spans="1:11" ht="24.95" customHeight="1">
      <c r="A623" s="787" t="s">
        <v>2963</v>
      </c>
      <c r="B623" s="760" t="s">
        <v>2964</v>
      </c>
      <c r="C623" s="751"/>
      <c r="D623" s="752"/>
      <c r="E623" s="753"/>
      <c r="F623" s="789">
        <v>0</v>
      </c>
      <c r="G623" s="751"/>
      <c r="H623" s="778" t="e">
        <f t="shared" si="63"/>
        <v>#DIV/0!</v>
      </c>
      <c r="I623" s="833">
        <f t="shared" si="62"/>
        <v>0</v>
      </c>
      <c r="J623" s="747">
        <f t="shared" si="64"/>
        <v>0</v>
      </c>
      <c r="K623" s="650" t="e">
        <f t="shared" si="65"/>
        <v>#DIV/0!</v>
      </c>
    </row>
    <row r="624" spans="1:11" ht="24.95" customHeight="1">
      <c r="A624" s="787" t="s">
        <v>2633</v>
      </c>
      <c r="B624" s="760" t="s">
        <v>2965</v>
      </c>
      <c r="C624" s="751"/>
      <c r="D624" s="752"/>
      <c r="E624" s="753"/>
      <c r="F624" s="789">
        <v>5</v>
      </c>
      <c r="G624" s="751">
        <v>7</v>
      </c>
      <c r="H624" s="778">
        <f t="shared" si="63"/>
        <v>1.4</v>
      </c>
      <c r="I624" s="833">
        <f t="shared" si="62"/>
        <v>5</v>
      </c>
      <c r="J624" s="747">
        <f t="shared" si="64"/>
        <v>7</v>
      </c>
      <c r="K624" s="650">
        <f t="shared" si="65"/>
        <v>1.4</v>
      </c>
    </row>
    <row r="625" spans="1:11" ht="24.95" customHeight="1">
      <c r="A625" s="798" t="s">
        <v>2639</v>
      </c>
      <c r="B625" s="788" t="s">
        <v>3048</v>
      </c>
      <c r="C625" s="751"/>
      <c r="D625" s="752"/>
      <c r="E625" s="753"/>
      <c r="F625" s="789">
        <v>0</v>
      </c>
      <c r="G625" s="751"/>
      <c r="H625" s="778" t="e">
        <f t="shared" si="63"/>
        <v>#DIV/0!</v>
      </c>
      <c r="I625" s="833">
        <f t="shared" si="62"/>
        <v>0</v>
      </c>
      <c r="J625" s="747">
        <f t="shared" si="64"/>
        <v>0</v>
      </c>
      <c r="K625" s="650" t="e">
        <f t="shared" si="65"/>
        <v>#DIV/0!</v>
      </c>
    </row>
    <row r="626" spans="1:11" ht="24.95" customHeight="1">
      <c r="A626" s="759" t="s">
        <v>3049</v>
      </c>
      <c r="B626" s="760" t="s">
        <v>3110</v>
      </c>
      <c r="C626" s="751"/>
      <c r="D626" s="752"/>
      <c r="E626" s="753"/>
      <c r="F626" s="789">
        <v>0</v>
      </c>
      <c r="G626" s="751"/>
      <c r="H626" s="778" t="e">
        <f t="shared" si="63"/>
        <v>#DIV/0!</v>
      </c>
      <c r="I626" s="833">
        <f t="shared" si="62"/>
        <v>0</v>
      </c>
      <c r="J626" s="747">
        <f t="shared" si="64"/>
        <v>0</v>
      </c>
      <c r="K626" s="650" t="e">
        <f t="shared" si="65"/>
        <v>#DIV/0!</v>
      </c>
    </row>
    <row r="627" spans="1:11" ht="24.95" customHeight="1">
      <c r="A627" s="759" t="s">
        <v>2645</v>
      </c>
      <c r="B627" s="760" t="s">
        <v>3111</v>
      </c>
      <c r="C627" s="751"/>
      <c r="D627" s="752"/>
      <c r="E627" s="753"/>
      <c r="F627" s="789">
        <v>5</v>
      </c>
      <c r="G627" s="751"/>
      <c r="H627" s="778">
        <f t="shared" si="63"/>
        <v>0</v>
      </c>
      <c r="I627" s="833">
        <f t="shared" si="62"/>
        <v>5</v>
      </c>
      <c r="J627" s="747">
        <f t="shared" si="64"/>
        <v>0</v>
      </c>
      <c r="K627" s="650">
        <f t="shared" si="65"/>
        <v>0</v>
      </c>
    </row>
    <row r="628" spans="1:11" ht="24.95" customHeight="1">
      <c r="A628" s="759" t="s">
        <v>2667</v>
      </c>
      <c r="B628" s="760" t="s">
        <v>3004</v>
      </c>
      <c r="C628" s="751"/>
      <c r="D628" s="752"/>
      <c r="E628" s="753"/>
      <c r="F628" s="789">
        <v>5</v>
      </c>
      <c r="G628" s="751"/>
      <c r="H628" s="778">
        <f t="shared" si="63"/>
        <v>0</v>
      </c>
      <c r="I628" s="833">
        <f t="shared" si="62"/>
        <v>5</v>
      </c>
      <c r="J628" s="747">
        <f t="shared" si="64"/>
        <v>0</v>
      </c>
      <c r="K628" s="650">
        <f t="shared" si="65"/>
        <v>0</v>
      </c>
    </row>
    <row r="629" spans="1:11" ht="24.95" customHeight="1">
      <c r="A629" s="787" t="s">
        <v>2969</v>
      </c>
      <c r="B629" s="760" t="s">
        <v>2970</v>
      </c>
      <c r="C629" s="751"/>
      <c r="D629" s="752"/>
      <c r="E629" s="753"/>
      <c r="F629" s="789">
        <v>0</v>
      </c>
      <c r="G629" s="751"/>
      <c r="H629" s="778" t="e">
        <f t="shared" si="63"/>
        <v>#DIV/0!</v>
      </c>
      <c r="I629" s="833">
        <f t="shared" si="62"/>
        <v>0</v>
      </c>
      <c r="J629" s="747">
        <f t="shared" si="64"/>
        <v>0</v>
      </c>
      <c r="K629" s="650" t="e">
        <f t="shared" si="65"/>
        <v>#DIV/0!</v>
      </c>
    </row>
    <row r="630" spans="1:11" ht="24.95" customHeight="1">
      <c r="A630" s="836"/>
      <c r="B630" s="837" t="s">
        <v>3112</v>
      </c>
      <c r="C630" s="838">
        <f>SUM(C555:C629)</f>
        <v>0</v>
      </c>
      <c r="D630" s="838">
        <f>SUM(D555:D629)</f>
        <v>0</v>
      </c>
      <c r="E630" s="839" t="e">
        <f>+D630/C630</f>
        <v>#DIV/0!</v>
      </c>
      <c r="F630" s="840">
        <f>SUM(F555:F629)</f>
        <v>1355</v>
      </c>
      <c r="G630" s="838">
        <f>SUM(G555:G629)</f>
        <v>931</v>
      </c>
      <c r="H630" s="778">
        <f t="shared" si="63"/>
        <v>0.68708487084870851</v>
      </c>
      <c r="I630" s="841">
        <f>SUM(I555:I629)</f>
        <v>1355</v>
      </c>
      <c r="J630" s="842">
        <f>SUM(J555:J629)</f>
        <v>931</v>
      </c>
      <c r="K630" s="650">
        <f t="shared" si="65"/>
        <v>0.68708487084870851</v>
      </c>
    </row>
    <row r="631" spans="1:11" ht="24.95" customHeight="1">
      <c r="A631" s="843"/>
      <c r="B631" s="837" t="s">
        <v>3113</v>
      </c>
      <c r="C631" s="844">
        <f t="shared" ref="C631:J631" si="66">+C552</f>
        <v>5336</v>
      </c>
      <c r="D631" s="844">
        <f t="shared" si="66"/>
        <v>2607</v>
      </c>
      <c r="E631" s="839">
        <f t="shared" ref="E631:E633" si="67">+D631/C631</f>
        <v>0.48856821589205396</v>
      </c>
      <c r="F631" s="845">
        <f t="shared" si="66"/>
        <v>178625</v>
      </c>
      <c r="G631" s="845">
        <f t="shared" si="66"/>
        <v>67830</v>
      </c>
      <c r="H631" s="778">
        <f t="shared" si="63"/>
        <v>0.37973407977606716</v>
      </c>
      <c r="I631" s="846">
        <f t="shared" si="66"/>
        <v>183849</v>
      </c>
      <c r="J631" s="847">
        <f t="shared" si="66"/>
        <v>70421</v>
      </c>
      <c r="K631" s="650">
        <f t="shared" si="65"/>
        <v>0.38303716637022772</v>
      </c>
    </row>
    <row r="632" spans="1:11" ht="24.95" customHeight="1">
      <c r="A632" s="843"/>
      <c r="B632" s="837" t="s">
        <v>2786</v>
      </c>
      <c r="C632" s="844">
        <f t="shared" ref="C632:J632" si="68">+C237</f>
        <v>10</v>
      </c>
      <c r="D632" s="844">
        <f t="shared" si="68"/>
        <v>0</v>
      </c>
      <c r="E632" s="839">
        <f t="shared" si="67"/>
        <v>0</v>
      </c>
      <c r="F632" s="845">
        <f t="shared" si="68"/>
        <v>739</v>
      </c>
      <c r="G632" s="845">
        <f t="shared" si="68"/>
        <v>115</v>
      </c>
      <c r="H632" s="778">
        <f t="shared" si="63"/>
        <v>0.15561569688768606</v>
      </c>
      <c r="I632" s="846">
        <f t="shared" si="68"/>
        <v>749</v>
      </c>
      <c r="J632" s="847">
        <f t="shared" si="68"/>
        <v>298</v>
      </c>
      <c r="K632" s="650">
        <f t="shared" si="65"/>
        <v>0.39786381842456608</v>
      </c>
    </row>
    <row r="633" spans="1:11" ht="24.95" customHeight="1">
      <c r="A633" s="848"/>
      <c r="B633" s="837" t="s">
        <v>2671</v>
      </c>
      <c r="C633" s="844">
        <f t="shared" ref="C633:J633" si="69">+C630+C631+C632</f>
        <v>5346</v>
      </c>
      <c r="D633" s="844">
        <f t="shared" si="69"/>
        <v>2607</v>
      </c>
      <c r="E633" s="839">
        <f t="shared" si="67"/>
        <v>0.48765432098765432</v>
      </c>
      <c r="F633" s="845">
        <f t="shared" si="69"/>
        <v>180719</v>
      </c>
      <c r="G633" s="845">
        <f t="shared" si="69"/>
        <v>68876</v>
      </c>
      <c r="H633" s="778">
        <f t="shared" si="63"/>
        <v>0.38112207349531591</v>
      </c>
      <c r="I633" s="846">
        <f t="shared" si="69"/>
        <v>185953</v>
      </c>
      <c r="J633" s="847">
        <f t="shared" si="69"/>
        <v>71650</v>
      </c>
      <c r="K633" s="650">
        <f t="shared" si="65"/>
        <v>0.38531241765392332</v>
      </c>
    </row>
    <row r="634" spans="1:11" ht="24.95" customHeight="1">
      <c r="A634" s="2207" t="s">
        <v>149</v>
      </c>
      <c r="B634" s="2207"/>
      <c r="C634" s="2207"/>
      <c r="D634" s="2207"/>
      <c r="E634" s="2207"/>
      <c r="F634" s="2207"/>
      <c r="G634" s="2207"/>
      <c r="H634" s="2207"/>
      <c r="I634" s="2207"/>
      <c r="J634" s="2207"/>
      <c r="K634" s="2207"/>
    </row>
    <row r="635" spans="1:11" ht="24.95" customHeight="1">
      <c r="A635" s="2208" t="s">
        <v>3114</v>
      </c>
      <c r="B635" s="2208"/>
      <c r="C635" s="2208"/>
      <c r="D635" s="2208"/>
      <c r="E635" s="2208"/>
      <c r="F635" s="2208"/>
      <c r="G635" s="2208"/>
      <c r="H635" s="2208"/>
      <c r="I635" s="2208"/>
      <c r="J635" s="2208"/>
      <c r="K635" s="2208"/>
    </row>
    <row r="636" spans="1:11" s="741" customFormat="1" ht="24.95" customHeight="1">
      <c r="A636" s="849"/>
      <c r="B636" s="850" t="s">
        <v>208</v>
      </c>
      <c r="C636" s="1960" t="s">
        <v>1852</v>
      </c>
      <c r="D636" s="1961"/>
      <c r="E636" s="1961"/>
      <c r="F636" s="1961"/>
      <c r="G636" s="1961"/>
      <c r="H636" s="1961"/>
      <c r="I636" s="1961"/>
      <c r="J636" s="1961"/>
      <c r="K636" s="1961"/>
    </row>
    <row r="637" spans="1:11" s="741" customFormat="1" ht="24.95" customHeight="1">
      <c r="A637" s="851"/>
      <c r="B637" s="852" t="s">
        <v>209</v>
      </c>
      <c r="C637" s="1958">
        <v>17878735</v>
      </c>
      <c r="D637" s="1959"/>
      <c r="E637" s="1959"/>
      <c r="F637" s="1959"/>
      <c r="G637" s="1959"/>
      <c r="H637" s="1959"/>
      <c r="I637" s="1959"/>
      <c r="J637" s="1959"/>
      <c r="K637" s="1959"/>
    </row>
    <row r="638" spans="1:11" s="741" customFormat="1" ht="24.95" customHeight="1">
      <c r="A638" s="851"/>
      <c r="B638" s="852" t="s">
        <v>211</v>
      </c>
      <c r="C638" s="1960" t="s">
        <v>1812</v>
      </c>
      <c r="D638" s="1961"/>
      <c r="E638" s="1961"/>
      <c r="F638" s="1961"/>
      <c r="G638" s="1961"/>
      <c r="H638" s="1961"/>
      <c r="I638" s="1961"/>
      <c r="J638" s="1961"/>
      <c r="K638" s="1961"/>
    </row>
    <row r="639" spans="1:11" s="741" customFormat="1" ht="24.95" customHeight="1">
      <c r="A639" s="851"/>
      <c r="B639" s="852" t="s">
        <v>210</v>
      </c>
      <c r="C639" s="2042" t="s">
        <v>331</v>
      </c>
      <c r="D639" s="2043"/>
      <c r="E639" s="2043"/>
      <c r="F639" s="2043"/>
      <c r="G639" s="2043"/>
      <c r="H639" s="2043"/>
      <c r="I639" s="2043"/>
      <c r="J639" s="2043"/>
      <c r="K639" s="2043"/>
    </row>
    <row r="640" spans="1:11" s="741" customFormat="1" ht="24.95" customHeight="1">
      <c r="A640" s="851"/>
      <c r="B640" s="852" t="s">
        <v>251</v>
      </c>
      <c r="C640" s="2084" t="s">
        <v>1833</v>
      </c>
      <c r="D640" s="2085"/>
      <c r="E640" s="2085"/>
      <c r="F640" s="2085"/>
      <c r="G640" s="2085"/>
      <c r="H640" s="2085"/>
      <c r="I640" s="2085"/>
      <c r="J640" s="2085"/>
      <c r="K640" s="2085"/>
    </row>
    <row r="641" spans="1:11" ht="24.95" customHeight="1">
      <c r="A641" s="2198" t="s">
        <v>122</v>
      </c>
      <c r="B641" s="2198" t="s">
        <v>253</v>
      </c>
      <c r="C641" s="2200" t="s">
        <v>2038</v>
      </c>
      <c r="D641" s="2200"/>
      <c r="E641" s="2200"/>
      <c r="F641" s="2200" t="s">
        <v>2039</v>
      </c>
      <c r="G641" s="2200"/>
      <c r="H641" s="2200"/>
      <c r="I641" s="2200" t="s">
        <v>90</v>
      </c>
      <c r="J641" s="2200"/>
      <c r="K641" s="2200"/>
    </row>
    <row r="642" spans="1:11" ht="24.95" customHeight="1">
      <c r="A642" s="2199"/>
      <c r="B642" s="2199"/>
      <c r="C642" s="673" t="s">
        <v>368</v>
      </c>
      <c r="D642" s="547" t="s">
        <v>2040</v>
      </c>
      <c r="E642" s="746" t="s">
        <v>2041</v>
      </c>
      <c r="F642" s="673" t="s">
        <v>368</v>
      </c>
      <c r="G642" s="547" t="s">
        <v>2040</v>
      </c>
      <c r="H642" s="746" t="s">
        <v>2041</v>
      </c>
      <c r="I642" s="673" t="s">
        <v>368</v>
      </c>
      <c r="J642" s="547" t="s">
        <v>2040</v>
      </c>
      <c r="K642" s="546" t="s">
        <v>2041</v>
      </c>
    </row>
    <row r="643" spans="1:11" ht="24.95" customHeight="1">
      <c r="A643" s="853"/>
      <c r="B643" s="854" t="s">
        <v>2372</v>
      </c>
      <c r="C643" s="2192"/>
      <c r="D643" s="2192"/>
      <c r="E643" s="2192"/>
      <c r="F643" s="2192"/>
      <c r="G643" s="2192"/>
      <c r="H643" s="2192"/>
      <c r="I643" s="2192"/>
      <c r="J643" s="770"/>
      <c r="K643" s="855"/>
    </row>
    <row r="644" spans="1:11" ht="24.95" customHeight="1">
      <c r="A644" s="856" t="s">
        <v>3115</v>
      </c>
      <c r="B644" s="857" t="s">
        <v>3053</v>
      </c>
      <c r="C644" s="858">
        <v>2</v>
      </c>
      <c r="D644" s="858">
        <v>2</v>
      </c>
      <c r="E644" s="859">
        <f>+D644/C644</f>
        <v>1</v>
      </c>
      <c r="F644" s="858">
        <v>35</v>
      </c>
      <c r="G644" s="858">
        <v>38</v>
      </c>
      <c r="H644" s="859">
        <f>+G644/F644</f>
        <v>1.0857142857142856</v>
      </c>
      <c r="I644" s="860">
        <f t="shared" ref="I644:J659" si="70">+C644+F644</f>
        <v>37</v>
      </c>
      <c r="J644" s="860">
        <f>+D644+G644</f>
        <v>40</v>
      </c>
      <c r="K644" s="855">
        <f>+J644/I644</f>
        <v>1.0810810810810811</v>
      </c>
    </row>
    <row r="645" spans="1:11" ht="24.95" customHeight="1">
      <c r="A645" s="861" t="s">
        <v>2389</v>
      </c>
      <c r="B645" s="862" t="s">
        <v>2390</v>
      </c>
      <c r="C645" s="858">
        <v>7</v>
      </c>
      <c r="D645" s="858">
        <v>2</v>
      </c>
      <c r="E645" s="859">
        <f t="shared" ref="E645:E701" si="71">+D645/C645</f>
        <v>0.2857142857142857</v>
      </c>
      <c r="F645" s="858">
        <v>80</v>
      </c>
      <c r="G645" s="858">
        <v>47</v>
      </c>
      <c r="H645" s="859">
        <f t="shared" ref="H645:H701" si="72">+G645/F645</f>
        <v>0.58750000000000002</v>
      </c>
      <c r="I645" s="860">
        <f t="shared" si="70"/>
        <v>87</v>
      </c>
      <c r="J645" s="860">
        <f t="shared" si="70"/>
        <v>49</v>
      </c>
      <c r="K645" s="855">
        <f t="shared" ref="K645:K701" si="73">+J645/I645</f>
        <v>0.56321839080459768</v>
      </c>
    </row>
    <row r="646" spans="1:11" ht="24.95" customHeight="1">
      <c r="A646" s="856" t="s">
        <v>2393</v>
      </c>
      <c r="B646" s="857" t="s">
        <v>2394</v>
      </c>
      <c r="C646" s="858"/>
      <c r="D646" s="858"/>
      <c r="E646" s="859" t="e">
        <f t="shared" si="71"/>
        <v>#DIV/0!</v>
      </c>
      <c r="F646" s="858">
        <v>2</v>
      </c>
      <c r="G646" s="858"/>
      <c r="H646" s="859">
        <f t="shared" si="72"/>
        <v>0</v>
      </c>
      <c r="I646" s="860">
        <f t="shared" si="70"/>
        <v>2</v>
      </c>
      <c r="J646" s="860">
        <f t="shared" si="70"/>
        <v>0</v>
      </c>
      <c r="K646" s="855">
        <f t="shared" si="73"/>
        <v>0</v>
      </c>
    </row>
    <row r="647" spans="1:11" ht="24.95" customHeight="1">
      <c r="A647" s="856" t="s">
        <v>2395</v>
      </c>
      <c r="B647" s="857" t="s">
        <v>2396</v>
      </c>
      <c r="C647" s="858"/>
      <c r="D647" s="858"/>
      <c r="E647" s="859" t="e">
        <f t="shared" si="71"/>
        <v>#DIV/0!</v>
      </c>
      <c r="F647" s="858">
        <v>5</v>
      </c>
      <c r="G647" s="858">
        <v>3</v>
      </c>
      <c r="H647" s="859">
        <f t="shared" si="72"/>
        <v>0.6</v>
      </c>
      <c r="I647" s="860">
        <f t="shared" si="70"/>
        <v>5</v>
      </c>
      <c r="J647" s="860">
        <f t="shared" si="70"/>
        <v>3</v>
      </c>
      <c r="K647" s="855">
        <f t="shared" si="73"/>
        <v>0.6</v>
      </c>
    </row>
    <row r="648" spans="1:11" ht="24.95" customHeight="1">
      <c r="A648" s="856" t="s">
        <v>2397</v>
      </c>
      <c r="B648" s="857" t="s">
        <v>2398</v>
      </c>
      <c r="C648" s="858"/>
      <c r="D648" s="858"/>
      <c r="E648" s="859" t="e">
        <f t="shared" si="71"/>
        <v>#DIV/0!</v>
      </c>
      <c r="F648" s="858">
        <v>4</v>
      </c>
      <c r="G648" s="858"/>
      <c r="H648" s="859">
        <f t="shared" si="72"/>
        <v>0</v>
      </c>
      <c r="I648" s="860">
        <f t="shared" si="70"/>
        <v>4</v>
      </c>
      <c r="J648" s="860">
        <f t="shared" si="70"/>
        <v>0</v>
      </c>
      <c r="K648" s="855">
        <f t="shared" si="73"/>
        <v>0</v>
      </c>
    </row>
    <row r="649" spans="1:11" ht="24.95" customHeight="1">
      <c r="A649" s="856" t="s">
        <v>2401</v>
      </c>
      <c r="B649" s="863" t="s">
        <v>2402</v>
      </c>
      <c r="C649" s="858">
        <v>355</v>
      </c>
      <c r="D649" s="858">
        <v>189</v>
      </c>
      <c r="E649" s="859">
        <f t="shared" si="71"/>
        <v>0.53239436619718306</v>
      </c>
      <c r="F649" s="858">
        <v>460</v>
      </c>
      <c r="G649" s="858">
        <v>249</v>
      </c>
      <c r="H649" s="859">
        <f t="shared" si="72"/>
        <v>0.54130434782608694</v>
      </c>
      <c r="I649" s="860">
        <f t="shared" si="70"/>
        <v>815</v>
      </c>
      <c r="J649" s="860">
        <f t="shared" si="70"/>
        <v>438</v>
      </c>
      <c r="K649" s="855">
        <f t="shared" si="73"/>
        <v>0.53742331288343559</v>
      </c>
    </row>
    <row r="650" spans="1:11" ht="24.95" customHeight="1">
      <c r="A650" s="856">
        <v>250107</v>
      </c>
      <c r="B650" s="863" t="s">
        <v>3116</v>
      </c>
      <c r="C650" s="858"/>
      <c r="D650" s="858"/>
      <c r="E650" s="859" t="e">
        <f t="shared" si="71"/>
        <v>#DIV/0!</v>
      </c>
      <c r="F650" s="858">
        <v>10</v>
      </c>
      <c r="G650" s="858">
        <v>4</v>
      </c>
      <c r="H650" s="859">
        <f t="shared" si="72"/>
        <v>0.4</v>
      </c>
      <c r="I650" s="860">
        <f t="shared" si="70"/>
        <v>10</v>
      </c>
      <c r="J650" s="860">
        <f t="shared" si="70"/>
        <v>4</v>
      </c>
      <c r="K650" s="855">
        <f t="shared" si="73"/>
        <v>0.4</v>
      </c>
    </row>
    <row r="651" spans="1:11" ht="24.95" customHeight="1">
      <c r="A651" s="861" t="s">
        <v>3117</v>
      </c>
      <c r="B651" s="862" t="s">
        <v>3118</v>
      </c>
      <c r="C651" s="858">
        <v>5</v>
      </c>
      <c r="D651" s="858"/>
      <c r="E651" s="859">
        <f t="shared" si="71"/>
        <v>0</v>
      </c>
      <c r="F651" s="858">
        <v>5</v>
      </c>
      <c r="G651" s="858"/>
      <c r="H651" s="859">
        <f t="shared" si="72"/>
        <v>0</v>
      </c>
      <c r="I651" s="860">
        <f>+F651</f>
        <v>5</v>
      </c>
      <c r="J651" s="860">
        <f t="shared" si="70"/>
        <v>0</v>
      </c>
      <c r="K651" s="855">
        <f t="shared" si="73"/>
        <v>0</v>
      </c>
    </row>
    <row r="652" spans="1:11" ht="24.95" customHeight="1">
      <c r="A652" s="861" t="s">
        <v>3119</v>
      </c>
      <c r="B652" s="862" t="s">
        <v>3120</v>
      </c>
      <c r="C652" s="858">
        <v>0</v>
      </c>
      <c r="D652" s="858">
        <v>1</v>
      </c>
      <c r="E652" s="859" t="e">
        <f t="shared" si="71"/>
        <v>#DIV/0!</v>
      </c>
      <c r="F652" s="858">
        <v>5</v>
      </c>
      <c r="G652" s="858"/>
      <c r="H652" s="859">
        <f t="shared" si="72"/>
        <v>0</v>
      </c>
      <c r="I652" s="860">
        <f t="shared" ref="I652:J683" si="74">+C652+F652</f>
        <v>5</v>
      </c>
      <c r="J652" s="860">
        <f t="shared" si="70"/>
        <v>1</v>
      </c>
      <c r="K652" s="855">
        <f t="shared" si="73"/>
        <v>0.2</v>
      </c>
    </row>
    <row r="653" spans="1:11" ht="24.95" customHeight="1">
      <c r="A653" s="861" t="s">
        <v>3121</v>
      </c>
      <c r="B653" s="862" t="s">
        <v>3122</v>
      </c>
      <c r="C653" s="858">
        <v>10</v>
      </c>
      <c r="D653" s="858">
        <v>4</v>
      </c>
      <c r="E653" s="859">
        <f t="shared" si="71"/>
        <v>0.4</v>
      </c>
      <c r="F653" s="858">
        <v>0</v>
      </c>
      <c r="G653" s="858"/>
      <c r="H653" s="859" t="e">
        <f t="shared" si="72"/>
        <v>#DIV/0!</v>
      </c>
      <c r="I653" s="860">
        <f t="shared" si="74"/>
        <v>10</v>
      </c>
      <c r="J653" s="860">
        <f t="shared" si="70"/>
        <v>4</v>
      </c>
      <c r="K653" s="855">
        <f t="shared" si="73"/>
        <v>0.4</v>
      </c>
    </row>
    <row r="654" spans="1:11" ht="24.95" customHeight="1">
      <c r="A654" s="861" t="s">
        <v>3123</v>
      </c>
      <c r="B654" s="862" t="s">
        <v>3124</v>
      </c>
      <c r="C654" s="858">
        <v>1</v>
      </c>
      <c r="D654" s="858"/>
      <c r="E654" s="859">
        <f t="shared" si="71"/>
        <v>0</v>
      </c>
      <c r="F654" s="858">
        <v>1</v>
      </c>
      <c r="G654" s="858"/>
      <c r="H654" s="859">
        <f t="shared" si="72"/>
        <v>0</v>
      </c>
      <c r="I654" s="860">
        <f t="shared" si="74"/>
        <v>2</v>
      </c>
      <c r="J654" s="860">
        <f t="shared" si="70"/>
        <v>0</v>
      </c>
      <c r="K654" s="855">
        <f t="shared" si="73"/>
        <v>0</v>
      </c>
    </row>
    <row r="655" spans="1:11" ht="24.95" customHeight="1">
      <c r="A655" s="861" t="s">
        <v>3125</v>
      </c>
      <c r="B655" s="862" t="s">
        <v>3126</v>
      </c>
      <c r="C655" s="858">
        <v>0</v>
      </c>
      <c r="D655" s="858"/>
      <c r="E655" s="859" t="e">
        <f t="shared" si="71"/>
        <v>#DIV/0!</v>
      </c>
      <c r="F655" s="858">
        <v>10</v>
      </c>
      <c r="G655" s="858">
        <v>4</v>
      </c>
      <c r="H655" s="859">
        <f t="shared" si="72"/>
        <v>0.4</v>
      </c>
      <c r="I655" s="860">
        <f t="shared" si="74"/>
        <v>10</v>
      </c>
      <c r="J655" s="860">
        <f t="shared" si="70"/>
        <v>4</v>
      </c>
      <c r="K655" s="855">
        <f t="shared" si="73"/>
        <v>0.4</v>
      </c>
    </row>
    <row r="656" spans="1:11" ht="24.95" customHeight="1">
      <c r="A656" s="861" t="s">
        <v>3127</v>
      </c>
      <c r="B656" s="862" t="s">
        <v>3128</v>
      </c>
      <c r="C656" s="858">
        <v>35</v>
      </c>
      <c r="D656" s="858">
        <v>8</v>
      </c>
      <c r="E656" s="859">
        <f t="shared" si="71"/>
        <v>0.22857142857142856</v>
      </c>
      <c r="F656" s="858">
        <v>50</v>
      </c>
      <c r="G656" s="858">
        <v>5</v>
      </c>
      <c r="H656" s="859">
        <f t="shared" si="72"/>
        <v>0.1</v>
      </c>
      <c r="I656" s="860">
        <f t="shared" si="74"/>
        <v>85</v>
      </c>
      <c r="J656" s="860">
        <f t="shared" si="70"/>
        <v>13</v>
      </c>
      <c r="K656" s="855">
        <f t="shared" si="73"/>
        <v>0.15294117647058825</v>
      </c>
    </row>
    <row r="657" spans="1:11" ht="24.95" customHeight="1">
      <c r="A657" s="861" t="s">
        <v>3129</v>
      </c>
      <c r="B657" s="862" t="s">
        <v>3130</v>
      </c>
      <c r="C657" s="858">
        <v>51</v>
      </c>
      <c r="D657" s="858">
        <v>11</v>
      </c>
      <c r="E657" s="859">
        <f t="shared" si="71"/>
        <v>0.21568627450980393</v>
      </c>
      <c r="F657" s="858">
        <v>71</v>
      </c>
      <c r="G657" s="858">
        <v>7</v>
      </c>
      <c r="H657" s="859">
        <f t="shared" si="72"/>
        <v>9.8591549295774641E-2</v>
      </c>
      <c r="I657" s="860">
        <f t="shared" si="74"/>
        <v>122</v>
      </c>
      <c r="J657" s="860">
        <f t="shared" si="70"/>
        <v>18</v>
      </c>
      <c r="K657" s="855">
        <f t="shared" si="73"/>
        <v>0.14754098360655737</v>
      </c>
    </row>
    <row r="658" spans="1:11" ht="24.95" customHeight="1">
      <c r="A658" s="861" t="s">
        <v>3131</v>
      </c>
      <c r="B658" s="864" t="s">
        <v>3132</v>
      </c>
      <c r="C658" s="858"/>
      <c r="D658" s="858"/>
      <c r="E658" s="859" t="e">
        <f t="shared" si="71"/>
        <v>#DIV/0!</v>
      </c>
      <c r="F658" s="858">
        <v>0</v>
      </c>
      <c r="G658" s="858"/>
      <c r="H658" s="859" t="e">
        <f t="shared" si="72"/>
        <v>#DIV/0!</v>
      </c>
      <c r="I658" s="860">
        <f t="shared" si="74"/>
        <v>0</v>
      </c>
      <c r="J658" s="860">
        <f t="shared" si="70"/>
        <v>0</v>
      </c>
      <c r="K658" s="855" t="e">
        <f t="shared" si="73"/>
        <v>#DIV/0!</v>
      </c>
    </row>
    <row r="659" spans="1:11" ht="24.95" customHeight="1">
      <c r="A659" s="861" t="s">
        <v>2808</v>
      </c>
      <c r="B659" s="865" t="s">
        <v>3133</v>
      </c>
      <c r="C659" s="858">
        <v>1</v>
      </c>
      <c r="D659" s="858"/>
      <c r="E659" s="859">
        <f t="shared" si="71"/>
        <v>0</v>
      </c>
      <c r="F659" s="858">
        <v>20</v>
      </c>
      <c r="G659" s="858">
        <v>7</v>
      </c>
      <c r="H659" s="859">
        <f t="shared" si="72"/>
        <v>0.35</v>
      </c>
      <c r="I659" s="860">
        <f t="shared" si="74"/>
        <v>21</v>
      </c>
      <c r="J659" s="860">
        <f t="shared" si="70"/>
        <v>7</v>
      </c>
      <c r="K659" s="855">
        <f t="shared" si="73"/>
        <v>0.33333333333333331</v>
      </c>
    </row>
    <row r="660" spans="1:11" ht="24.95" customHeight="1">
      <c r="A660" s="861" t="s">
        <v>2423</v>
      </c>
      <c r="B660" s="865" t="s">
        <v>2424</v>
      </c>
      <c r="C660" s="858"/>
      <c r="D660" s="858"/>
      <c r="E660" s="859" t="e">
        <f t="shared" si="71"/>
        <v>#DIV/0!</v>
      </c>
      <c r="F660" s="858">
        <v>15</v>
      </c>
      <c r="G660" s="858">
        <v>6</v>
      </c>
      <c r="H660" s="859">
        <f t="shared" si="72"/>
        <v>0.4</v>
      </c>
      <c r="I660" s="860">
        <f t="shared" si="74"/>
        <v>15</v>
      </c>
      <c r="J660" s="860">
        <f t="shared" si="74"/>
        <v>6</v>
      </c>
      <c r="K660" s="855">
        <f t="shared" si="73"/>
        <v>0.4</v>
      </c>
    </row>
    <row r="661" spans="1:11" ht="24.95" customHeight="1">
      <c r="A661" s="856" t="s">
        <v>2429</v>
      </c>
      <c r="B661" s="857" t="s">
        <v>2430</v>
      </c>
      <c r="C661" s="858"/>
      <c r="D661" s="858"/>
      <c r="E661" s="859" t="e">
        <f t="shared" si="71"/>
        <v>#DIV/0!</v>
      </c>
      <c r="F661" s="858">
        <v>30</v>
      </c>
      <c r="G661" s="858">
        <v>10</v>
      </c>
      <c r="H661" s="859">
        <f t="shared" si="72"/>
        <v>0.33333333333333331</v>
      </c>
      <c r="I661" s="860">
        <f t="shared" si="74"/>
        <v>30</v>
      </c>
      <c r="J661" s="860">
        <f t="shared" si="74"/>
        <v>10</v>
      </c>
      <c r="K661" s="855">
        <f t="shared" si="73"/>
        <v>0.33333333333333331</v>
      </c>
    </row>
    <row r="662" spans="1:11" ht="24.95" customHeight="1">
      <c r="A662" s="856" t="s">
        <v>2431</v>
      </c>
      <c r="B662" s="857" t="s">
        <v>2432</v>
      </c>
      <c r="C662" s="858"/>
      <c r="D662" s="858"/>
      <c r="E662" s="859" t="e">
        <f t="shared" si="71"/>
        <v>#DIV/0!</v>
      </c>
      <c r="F662" s="858">
        <v>2</v>
      </c>
      <c r="G662" s="858">
        <v>2</v>
      </c>
      <c r="H662" s="859">
        <f t="shared" si="72"/>
        <v>1</v>
      </c>
      <c r="I662" s="860">
        <f t="shared" si="74"/>
        <v>2</v>
      </c>
      <c r="J662" s="860">
        <f t="shared" si="74"/>
        <v>2</v>
      </c>
      <c r="K662" s="855">
        <f t="shared" si="73"/>
        <v>1</v>
      </c>
    </row>
    <row r="663" spans="1:11" ht="24.95" customHeight="1">
      <c r="A663" s="856">
        <v>600349</v>
      </c>
      <c r="B663" s="857" t="s">
        <v>2434</v>
      </c>
      <c r="C663" s="858"/>
      <c r="D663" s="858"/>
      <c r="E663" s="859" t="e">
        <f>+D663/C663</f>
        <v>#DIV/0!</v>
      </c>
      <c r="F663" s="858">
        <v>100</v>
      </c>
      <c r="G663" s="858">
        <v>17</v>
      </c>
      <c r="H663" s="859">
        <f t="shared" si="72"/>
        <v>0.17</v>
      </c>
      <c r="I663" s="860">
        <f t="shared" si="74"/>
        <v>100</v>
      </c>
      <c r="J663" s="860">
        <f t="shared" si="74"/>
        <v>17</v>
      </c>
      <c r="K663" s="855">
        <f t="shared" si="73"/>
        <v>0.17</v>
      </c>
    </row>
    <row r="664" spans="1:11" ht="24.95" customHeight="1">
      <c r="A664" s="856" t="s">
        <v>2873</v>
      </c>
      <c r="B664" s="866" t="s">
        <v>2874</v>
      </c>
      <c r="C664" s="858">
        <v>1</v>
      </c>
      <c r="D664" s="858"/>
      <c r="E664" s="859">
        <f t="shared" si="71"/>
        <v>0</v>
      </c>
      <c r="F664" s="858">
        <v>40</v>
      </c>
      <c r="G664" s="858">
        <v>27</v>
      </c>
      <c r="H664" s="859">
        <f t="shared" si="72"/>
        <v>0.67500000000000004</v>
      </c>
      <c r="I664" s="860">
        <f t="shared" si="74"/>
        <v>41</v>
      </c>
      <c r="J664" s="860">
        <f t="shared" si="74"/>
        <v>27</v>
      </c>
      <c r="K664" s="855">
        <f t="shared" si="73"/>
        <v>0.65853658536585369</v>
      </c>
    </row>
    <row r="665" spans="1:11" ht="24.95" customHeight="1">
      <c r="A665" s="867" t="s">
        <v>2439</v>
      </c>
      <c r="B665" s="866" t="s">
        <v>2440</v>
      </c>
      <c r="C665" s="858">
        <v>70</v>
      </c>
      <c r="D665" s="858">
        <v>47</v>
      </c>
      <c r="E665" s="859">
        <f t="shared" si="71"/>
        <v>0.67142857142857137</v>
      </c>
      <c r="F665" s="858">
        <v>620</v>
      </c>
      <c r="G665" s="858">
        <v>287</v>
      </c>
      <c r="H665" s="859">
        <f t="shared" si="72"/>
        <v>0.4629032258064516</v>
      </c>
      <c r="I665" s="860">
        <f t="shared" si="74"/>
        <v>690</v>
      </c>
      <c r="J665" s="860">
        <f t="shared" si="74"/>
        <v>334</v>
      </c>
      <c r="K665" s="855">
        <f t="shared" si="73"/>
        <v>0.48405797101449277</v>
      </c>
    </row>
    <row r="666" spans="1:11" ht="24.95" customHeight="1">
      <c r="A666" s="856" t="s">
        <v>2449</v>
      </c>
      <c r="B666" s="857" t="s">
        <v>2450</v>
      </c>
      <c r="C666" s="858"/>
      <c r="D666" s="858"/>
      <c r="E666" s="859" t="e">
        <f t="shared" si="71"/>
        <v>#DIV/0!</v>
      </c>
      <c r="F666" s="858">
        <v>2</v>
      </c>
      <c r="G666" s="858"/>
      <c r="H666" s="859">
        <f t="shared" si="72"/>
        <v>0</v>
      </c>
      <c r="I666" s="860">
        <f t="shared" si="74"/>
        <v>2</v>
      </c>
      <c r="J666" s="860">
        <f t="shared" si="74"/>
        <v>0</v>
      </c>
      <c r="K666" s="855">
        <f t="shared" si="73"/>
        <v>0</v>
      </c>
    </row>
    <row r="667" spans="1:11" ht="24.95" customHeight="1">
      <c r="A667" s="856" t="s">
        <v>2902</v>
      </c>
      <c r="B667" s="857" t="s">
        <v>2454</v>
      </c>
      <c r="C667" s="858"/>
      <c r="D667" s="858"/>
      <c r="E667" s="859" t="e">
        <f t="shared" si="71"/>
        <v>#DIV/0!</v>
      </c>
      <c r="F667" s="858">
        <v>50</v>
      </c>
      <c r="G667" s="858">
        <v>18</v>
      </c>
      <c r="H667" s="859">
        <f t="shared" si="72"/>
        <v>0.36</v>
      </c>
      <c r="I667" s="860">
        <f t="shared" si="74"/>
        <v>50</v>
      </c>
      <c r="J667" s="860">
        <f t="shared" si="74"/>
        <v>18</v>
      </c>
      <c r="K667" s="855">
        <f t="shared" si="73"/>
        <v>0.36</v>
      </c>
    </row>
    <row r="668" spans="1:11" ht="24.95" customHeight="1">
      <c r="A668" s="856" t="s">
        <v>2455</v>
      </c>
      <c r="B668" s="857" t="s">
        <v>2456</v>
      </c>
      <c r="C668" s="858"/>
      <c r="D668" s="858"/>
      <c r="E668" s="859" t="e">
        <f t="shared" si="71"/>
        <v>#DIV/0!</v>
      </c>
      <c r="F668" s="858">
        <v>85</v>
      </c>
      <c r="G668" s="858">
        <v>35</v>
      </c>
      <c r="H668" s="859">
        <f t="shared" si="72"/>
        <v>0.41176470588235292</v>
      </c>
      <c r="I668" s="860">
        <f t="shared" si="74"/>
        <v>85</v>
      </c>
      <c r="J668" s="860">
        <f t="shared" si="74"/>
        <v>35</v>
      </c>
      <c r="K668" s="855">
        <f t="shared" si="73"/>
        <v>0.41176470588235292</v>
      </c>
    </row>
    <row r="669" spans="1:11" ht="24.95" customHeight="1">
      <c r="A669" s="856" t="s">
        <v>2459</v>
      </c>
      <c r="B669" s="857" t="s">
        <v>3134</v>
      </c>
      <c r="C669" s="858"/>
      <c r="D669" s="858"/>
      <c r="E669" s="859" t="e">
        <f t="shared" si="71"/>
        <v>#DIV/0!</v>
      </c>
      <c r="F669" s="858">
        <v>2</v>
      </c>
      <c r="G669" s="858"/>
      <c r="H669" s="859">
        <f t="shared" si="72"/>
        <v>0</v>
      </c>
      <c r="I669" s="860">
        <f t="shared" si="74"/>
        <v>2</v>
      </c>
      <c r="J669" s="860">
        <f t="shared" si="74"/>
        <v>0</v>
      </c>
      <c r="K669" s="855">
        <f t="shared" si="73"/>
        <v>0</v>
      </c>
    </row>
    <row r="670" spans="1:11" ht="24.95" customHeight="1">
      <c r="A670" s="856" t="s">
        <v>2469</v>
      </c>
      <c r="B670" s="857" t="s">
        <v>2470</v>
      </c>
      <c r="C670" s="858"/>
      <c r="D670" s="858"/>
      <c r="E670" s="859" t="e">
        <f t="shared" si="71"/>
        <v>#DIV/0!</v>
      </c>
      <c r="F670" s="858">
        <v>25</v>
      </c>
      <c r="G670" s="858">
        <v>33</v>
      </c>
      <c r="H670" s="859">
        <f t="shared" si="72"/>
        <v>1.32</v>
      </c>
      <c r="I670" s="860">
        <f t="shared" si="74"/>
        <v>25</v>
      </c>
      <c r="J670" s="860">
        <f t="shared" si="74"/>
        <v>33</v>
      </c>
      <c r="K670" s="855">
        <f t="shared" si="73"/>
        <v>1.32</v>
      </c>
    </row>
    <row r="671" spans="1:11" ht="24.95" customHeight="1">
      <c r="A671" s="856" t="s">
        <v>3135</v>
      </c>
      <c r="B671" s="857" t="s">
        <v>3136</v>
      </c>
      <c r="C671" s="858"/>
      <c r="D671" s="858"/>
      <c r="E671" s="859" t="e">
        <f>+D671/C671</f>
        <v>#DIV/0!</v>
      </c>
      <c r="F671" s="858">
        <v>25</v>
      </c>
      <c r="G671" s="858">
        <v>5</v>
      </c>
      <c r="H671" s="859">
        <f t="shared" si="72"/>
        <v>0.2</v>
      </c>
      <c r="I671" s="860">
        <f t="shared" si="74"/>
        <v>25</v>
      </c>
      <c r="J671" s="860">
        <f t="shared" si="74"/>
        <v>5</v>
      </c>
      <c r="K671" s="855">
        <f t="shared" si="73"/>
        <v>0.2</v>
      </c>
    </row>
    <row r="672" spans="1:11" ht="24.95" customHeight="1">
      <c r="A672" s="856" t="s">
        <v>2933</v>
      </c>
      <c r="B672" s="857" t="s">
        <v>2934</v>
      </c>
      <c r="C672" s="858">
        <v>25</v>
      </c>
      <c r="D672" s="858">
        <v>7</v>
      </c>
      <c r="E672" s="859">
        <f t="shared" si="71"/>
        <v>0.28000000000000003</v>
      </c>
      <c r="F672" s="858">
        <v>2</v>
      </c>
      <c r="G672" s="858">
        <v>2</v>
      </c>
      <c r="H672" s="859">
        <f t="shared" si="72"/>
        <v>1</v>
      </c>
      <c r="I672" s="860">
        <f t="shared" si="74"/>
        <v>27</v>
      </c>
      <c r="J672" s="860">
        <f t="shared" si="74"/>
        <v>9</v>
      </c>
      <c r="K672" s="855">
        <f t="shared" si="73"/>
        <v>0.33333333333333331</v>
      </c>
    </row>
    <row r="673" spans="1:11" ht="24.95" customHeight="1">
      <c r="A673" s="868" t="s">
        <v>3137</v>
      </c>
      <c r="B673" s="857" t="s">
        <v>3138</v>
      </c>
      <c r="C673" s="858">
        <v>25</v>
      </c>
      <c r="D673" s="858">
        <v>14</v>
      </c>
      <c r="E673" s="859">
        <f t="shared" si="71"/>
        <v>0.56000000000000005</v>
      </c>
      <c r="F673" s="858"/>
      <c r="G673" s="858"/>
      <c r="H673" s="859" t="e">
        <f t="shared" si="72"/>
        <v>#DIV/0!</v>
      </c>
      <c r="I673" s="860">
        <f t="shared" si="74"/>
        <v>25</v>
      </c>
      <c r="J673" s="860">
        <f t="shared" si="74"/>
        <v>14</v>
      </c>
      <c r="K673" s="855">
        <f t="shared" si="73"/>
        <v>0.56000000000000005</v>
      </c>
    </row>
    <row r="674" spans="1:11" ht="24.95" customHeight="1">
      <c r="A674" s="856" t="s">
        <v>2481</v>
      </c>
      <c r="B674" s="857" t="s">
        <v>2935</v>
      </c>
      <c r="C674" s="858">
        <v>10</v>
      </c>
      <c r="D674" s="858">
        <v>2</v>
      </c>
      <c r="E674" s="859">
        <f t="shared" si="71"/>
        <v>0.2</v>
      </c>
      <c r="F674" s="858">
        <v>2</v>
      </c>
      <c r="G674" s="858">
        <v>2</v>
      </c>
      <c r="H674" s="859">
        <f t="shared" si="72"/>
        <v>1</v>
      </c>
      <c r="I674" s="860">
        <f t="shared" si="74"/>
        <v>12</v>
      </c>
      <c r="J674" s="860">
        <f t="shared" si="74"/>
        <v>4</v>
      </c>
      <c r="K674" s="855">
        <f t="shared" si="73"/>
        <v>0.33333333333333331</v>
      </c>
    </row>
    <row r="675" spans="1:11" ht="24.95" customHeight="1">
      <c r="A675" s="856" t="s">
        <v>2615</v>
      </c>
      <c r="B675" s="857" t="s">
        <v>3139</v>
      </c>
      <c r="C675" s="858"/>
      <c r="D675" s="858"/>
      <c r="E675" s="859" t="e">
        <f t="shared" si="71"/>
        <v>#DIV/0!</v>
      </c>
      <c r="F675" s="858">
        <v>500</v>
      </c>
      <c r="G675" s="858"/>
      <c r="H675" s="859">
        <f t="shared" si="72"/>
        <v>0</v>
      </c>
      <c r="I675" s="860">
        <f t="shared" si="74"/>
        <v>500</v>
      </c>
      <c r="J675" s="860">
        <f t="shared" si="74"/>
        <v>0</v>
      </c>
      <c r="K675" s="855">
        <f t="shared" si="73"/>
        <v>0</v>
      </c>
    </row>
    <row r="676" spans="1:11" ht="24.95" customHeight="1">
      <c r="A676" s="856" t="s">
        <v>3140</v>
      </c>
      <c r="B676" s="857" t="s">
        <v>3141</v>
      </c>
      <c r="C676" s="858">
        <v>5</v>
      </c>
      <c r="D676" s="858">
        <v>4</v>
      </c>
      <c r="E676" s="859">
        <f t="shared" si="71"/>
        <v>0.8</v>
      </c>
      <c r="F676" s="858"/>
      <c r="G676" s="858"/>
      <c r="H676" s="859" t="e">
        <f t="shared" si="72"/>
        <v>#DIV/0!</v>
      </c>
      <c r="I676" s="860">
        <f t="shared" si="74"/>
        <v>5</v>
      </c>
      <c r="J676" s="860">
        <f t="shared" si="74"/>
        <v>4</v>
      </c>
      <c r="K676" s="855">
        <f t="shared" si="73"/>
        <v>0.8</v>
      </c>
    </row>
    <row r="677" spans="1:11" ht="24.95" customHeight="1">
      <c r="A677" s="856" t="s">
        <v>3142</v>
      </c>
      <c r="B677" s="857" t="s">
        <v>3143</v>
      </c>
      <c r="C677" s="858">
        <v>2</v>
      </c>
      <c r="D677" s="858"/>
      <c r="E677" s="859">
        <f t="shared" si="71"/>
        <v>0</v>
      </c>
      <c r="F677" s="858"/>
      <c r="G677" s="858"/>
      <c r="H677" s="859" t="e">
        <f t="shared" si="72"/>
        <v>#DIV/0!</v>
      </c>
      <c r="I677" s="860">
        <f t="shared" si="74"/>
        <v>2</v>
      </c>
      <c r="J677" s="860">
        <f t="shared" si="74"/>
        <v>0</v>
      </c>
      <c r="K677" s="855">
        <f t="shared" si="73"/>
        <v>0</v>
      </c>
    </row>
    <row r="678" spans="1:11" ht="24.95" customHeight="1">
      <c r="A678" s="856" t="s">
        <v>1933</v>
      </c>
      <c r="B678" s="857" t="s">
        <v>3144</v>
      </c>
      <c r="C678" s="858">
        <v>5</v>
      </c>
      <c r="D678" s="858"/>
      <c r="E678" s="859">
        <f>+D678/C678</f>
        <v>0</v>
      </c>
      <c r="F678" s="858">
        <v>450</v>
      </c>
      <c r="G678" s="858"/>
      <c r="H678" s="859">
        <f t="shared" si="72"/>
        <v>0</v>
      </c>
      <c r="I678" s="860">
        <f t="shared" si="74"/>
        <v>455</v>
      </c>
      <c r="J678" s="860">
        <f t="shared" si="74"/>
        <v>0</v>
      </c>
      <c r="K678" s="855">
        <f t="shared" si="73"/>
        <v>0</v>
      </c>
    </row>
    <row r="679" spans="1:11" ht="24.95" customHeight="1">
      <c r="A679" s="856" t="s">
        <v>3145</v>
      </c>
      <c r="B679" s="857" t="s">
        <v>3146</v>
      </c>
      <c r="C679" s="858">
        <v>830</v>
      </c>
      <c r="D679" s="858">
        <v>622</v>
      </c>
      <c r="E679" s="859">
        <f t="shared" si="71"/>
        <v>0.74939759036144582</v>
      </c>
      <c r="F679" s="858"/>
      <c r="G679" s="858"/>
      <c r="H679" s="859" t="e">
        <f t="shared" si="72"/>
        <v>#DIV/0!</v>
      </c>
      <c r="I679" s="860">
        <f t="shared" si="74"/>
        <v>830</v>
      </c>
      <c r="J679" s="860">
        <f t="shared" si="74"/>
        <v>622</v>
      </c>
      <c r="K679" s="855">
        <f t="shared" si="73"/>
        <v>0.74939759036144582</v>
      </c>
    </row>
    <row r="680" spans="1:11" ht="24.95" customHeight="1">
      <c r="A680" s="856" t="s">
        <v>2613</v>
      </c>
      <c r="B680" s="857" t="s">
        <v>3147</v>
      </c>
      <c r="C680" s="858"/>
      <c r="D680" s="858"/>
      <c r="E680" s="859" t="e">
        <f t="shared" si="71"/>
        <v>#DIV/0!</v>
      </c>
      <c r="F680" s="858">
        <v>15</v>
      </c>
      <c r="G680" s="858"/>
      <c r="H680" s="859">
        <f t="shared" si="72"/>
        <v>0</v>
      </c>
      <c r="I680" s="860">
        <f t="shared" si="74"/>
        <v>15</v>
      </c>
      <c r="J680" s="860">
        <f t="shared" si="74"/>
        <v>0</v>
      </c>
      <c r="K680" s="855">
        <f t="shared" si="73"/>
        <v>0</v>
      </c>
    </row>
    <row r="681" spans="1:11" ht="24.95" customHeight="1">
      <c r="A681" s="856" t="s">
        <v>2327</v>
      </c>
      <c r="B681" s="857" t="s">
        <v>2328</v>
      </c>
      <c r="C681" s="858">
        <v>2</v>
      </c>
      <c r="D681" s="858">
        <v>2</v>
      </c>
      <c r="E681" s="859">
        <f t="shared" si="71"/>
        <v>1</v>
      </c>
      <c r="F681" s="858">
        <v>2</v>
      </c>
      <c r="G681" s="858">
        <v>18</v>
      </c>
      <c r="H681" s="859">
        <f t="shared" si="72"/>
        <v>9</v>
      </c>
      <c r="I681" s="860">
        <f t="shared" si="74"/>
        <v>4</v>
      </c>
      <c r="J681" s="860">
        <f t="shared" si="74"/>
        <v>20</v>
      </c>
      <c r="K681" s="855">
        <f t="shared" si="73"/>
        <v>5</v>
      </c>
    </row>
    <row r="682" spans="1:11" ht="24.95" customHeight="1">
      <c r="A682" s="856" t="s">
        <v>2176</v>
      </c>
      <c r="B682" s="857" t="s">
        <v>2177</v>
      </c>
      <c r="C682" s="858">
        <v>3</v>
      </c>
      <c r="D682" s="858"/>
      <c r="E682" s="859">
        <f t="shared" si="71"/>
        <v>0</v>
      </c>
      <c r="F682" s="858">
        <v>30</v>
      </c>
      <c r="G682" s="858">
        <v>12</v>
      </c>
      <c r="H682" s="859">
        <f t="shared" si="72"/>
        <v>0.4</v>
      </c>
      <c r="I682" s="860">
        <f t="shared" si="74"/>
        <v>33</v>
      </c>
      <c r="J682" s="860">
        <f t="shared" si="74"/>
        <v>12</v>
      </c>
      <c r="K682" s="855">
        <f t="shared" si="73"/>
        <v>0.36363636363636365</v>
      </c>
    </row>
    <row r="683" spans="1:11" ht="24.95" customHeight="1">
      <c r="A683" s="856" t="s">
        <v>2620</v>
      </c>
      <c r="B683" s="857" t="s">
        <v>2621</v>
      </c>
      <c r="C683" s="858">
        <v>50</v>
      </c>
      <c r="D683" s="858">
        <v>14</v>
      </c>
      <c r="E683" s="859">
        <f t="shared" si="71"/>
        <v>0.28000000000000003</v>
      </c>
      <c r="F683" s="858">
        <v>300</v>
      </c>
      <c r="G683" s="858">
        <v>144</v>
      </c>
      <c r="H683" s="859">
        <f t="shared" si="72"/>
        <v>0.48</v>
      </c>
      <c r="I683" s="860">
        <f t="shared" si="74"/>
        <v>350</v>
      </c>
      <c r="J683" s="860">
        <f t="shared" si="74"/>
        <v>158</v>
      </c>
      <c r="K683" s="855">
        <f t="shared" si="73"/>
        <v>0.4514285714285714</v>
      </c>
    </row>
    <row r="684" spans="1:11" ht="24.95" customHeight="1">
      <c r="A684" s="856" t="s">
        <v>2624</v>
      </c>
      <c r="B684" s="857" t="s">
        <v>2330</v>
      </c>
      <c r="C684" s="858">
        <v>2</v>
      </c>
      <c r="D684" s="858"/>
      <c r="E684" s="859">
        <f t="shared" si="71"/>
        <v>0</v>
      </c>
      <c r="F684" s="858">
        <v>3330</v>
      </c>
      <c r="G684" s="858">
        <v>1391</v>
      </c>
      <c r="H684" s="859">
        <f t="shared" si="72"/>
        <v>0.41771771771771771</v>
      </c>
      <c r="I684" s="860">
        <f t="shared" ref="I684:J700" si="75">+C684+F684</f>
        <v>3332</v>
      </c>
      <c r="J684" s="860">
        <f t="shared" si="75"/>
        <v>1391</v>
      </c>
      <c r="K684" s="855">
        <f t="shared" si="73"/>
        <v>0.41746698679471789</v>
      </c>
    </row>
    <row r="685" spans="1:11" ht="24.95" customHeight="1">
      <c r="A685" s="856" t="s">
        <v>2331</v>
      </c>
      <c r="B685" s="869" t="s">
        <v>2332</v>
      </c>
      <c r="C685" s="858">
        <v>5</v>
      </c>
      <c r="D685" s="858"/>
      <c r="E685" s="859">
        <f t="shared" si="71"/>
        <v>0</v>
      </c>
      <c r="F685" s="858">
        <v>235</v>
      </c>
      <c r="G685" s="858">
        <v>159</v>
      </c>
      <c r="H685" s="859">
        <f t="shared" si="72"/>
        <v>0.67659574468085104</v>
      </c>
      <c r="I685" s="860">
        <f t="shared" si="75"/>
        <v>240</v>
      </c>
      <c r="J685" s="860">
        <f t="shared" si="75"/>
        <v>159</v>
      </c>
      <c r="K685" s="855">
        <f t="shared" si="73"/>
        <v>0.66249999999999998</v>
      </c>
    </row>
    <row r="686" spans="1:11" ht="24.95" customHeight="1">
      <c r="A686" s="856" t="s">
        <v>2627</v>
      </c>
      <c r="B686" s="866" t="s">
        <v>2628</v>
      </c>
      <c r="C686" s="858"/>
      <c r="D686" s="858"/>
      <c r="E686" s="859" t="e">
        <f t="shared" si="71"/>
        <v>#DIV/0!</v>
      </c>
      <c r="F686" s="858">
        <v>40</v>
      </c>
      <c r="G686" s="858">
        <v>13</v>
      </c>
      <c r="H686" s="859">
        <f t="shared" si="72"/>
        <v>0.32500000000000001</v>
      </c>
      <c r="I686" s="860">
        <f t="shared" si="75"/>
        <v>40</v>
      </c>
      <c r="J686" s="860">
        <f t="shared" si="75"/>
        <v>13</v>
      </c>
      <c r="K686" s="855">
        <f t="shared" si="73"/>
        <v>0.32500000000000001</v>
      </c>
    </row>
    <row r="687" spans="1:11" ht="24.95" customHeight="1">
      <c r="A687" s="856" t="s">
        <v>2629</v>
      </c>
      <c r="B687" s="857" t="s">
        <v>2630</v>
      </c>
      <c r="C687" s="858">
        <v>15</v>
      </c>
      <c r="D687" s="858">
        <v>12</v>
      </c>
      <c r="E687" s="859">
        <f t="shared" si="71"/>
        <v>0.8</v>
      </c>
      <c r="F687" s="858">
        <v>810</v>
      </c>
      <c r="G687" s="858">
        <v>537</v>
      </c>
      <c r="H687" s="859">
        <f t="shared" si="72"/>
        <v>0.66296296296296298</v>
      </c>
      <c r="I687" s="860">
        <f t="shared" si="75"/>
        <v>825</v>
      </c>
      <c r="J687" s="860">
        <f t="shared" si="75"/>
        <v>549</v>
      </c>
      <c r="K687" s="855">
        <f t="shared" si="73"/>
        <v>0.66545454545454541</v>
      </c>
    </row>
    <row r="688" spans="1:11" ht="24.95" customHeight="1">
      <c r="A688" s="867" t="s">
        <v>2631</v>
      </c>
      <c r="B688" s="866" t="s">
        <v>2632</v>
      </c>
      <c r="C688" s="858">
        <v>115</v>
      </c>
      <c r="D688" s="858">
        <v>59</v>
      </c>
      <c r="E688" s="859">
        <f t="shared" si="71"/>
        <v>0.5130434782608696</v>
      </c>
      <c r="F688" s="858">
        <v>3660</v>
      </c>
      <c r="G688" s="858">
        <v>1841</v>
      </c>
      <c r="H688" s="859">
        <f t="shared" si="72"/>
        <v>0.50300546448087435</v>
      </c>
      <c r="I688" s="860">
        <f t="shared" si="75"/>
        <v>3775</v>
      </c>
      <c r="J688" s="860">
        <f t="shared" si="75"/>
        <v>1900</v>
      </c>
      <c r="K688" s="855">
        <f t="shared" si="73"/>
        <v>0.50331125827814571</v>
      </c>
    </row>
    <row r="689" spans="1:11" ht="24.95" customHeight="1">
      <c r="A689" s="856" t="s">
        <v>2178</v>
      </c>
      <c r="B689" s="857" t="s">
        <v>2179</v>
      </c>
      <c r="C689" s="858">
        <v>80</v>
      </c>
      <c r="D689" s="858">
        <v>36</v>
      </c>
      <c r="E689" s="859">
        <f>+D689/C689</f>
        <v>0.45</v>
      </c>
      <c r="F689" s="858">
        <v>1420</v>
      </c>
      <c r="G689" s="858">
        <v>807</v>
      </c>
      <c r="H689" s="859">
        <f t="shared" si="72"/>
        <v>0.5683098591549296</v>
      </c>
      <c r="I689" s="860">
        <f t="shared" si="75"/>
        <v>1500</v>
      </c>
      <c r="J689" s="860">
        <f t="shared" si="75"/>
        <v>843</v>
      </c>
      <c r="K689" s="855">
        <f t="shared" si="73"/>
        <v>0.56200000000000006</v>
      </c>
    </row>
    <row r="690" spans="1:11" ht="24.95" customHeight="1">
      <c r="A690" s="856" t="s">
        <v>2633</v>
      </c>
      <c r="B690" s="857" t="s">
        <v>2965</v>
      </c>
      <c r="C690" s="858"/>
      <c r="D690" s="858"/>
      <c r="E690" s="859" t="e">
        <f t="shared" si="71"/>
        <v>#DIV/0!</v>
      </c>
      <c r="F690" s="858">
        <v>60</v>
      </c>
      <c r="G690" s="858">
        <v>42</v>
      </c>
      <c r="H690" s="859">
        <f t="shared" si="72"/>
        <v>0.7</v>
      </c>
      <c r="I690" s="860">
        <f t="shared" si="75"/>
        <v>60</v>
      </c>
      <c r="J690" s="860">
        <f t="shared" si="75"/>
        <v>42</v>
      </c>
      <c r="K690" s="855">
        <f t="shared" si="73"/>
        <v>0.7</v>
      </c>
    </row>
    <row r="691" spans="1:11" ht="24.95" customHeight="1">
      <c r="A691" s="856" t="s">
        <v>2637</v>
      </c>
      <c r="B691" s="870" t="s">
        <v>2638</v>
      </c>
      <c r="C691" s="858">
        <v>1</v>
      </c>
      <c r="D691" s="858"/>
      <c r="E691" s="859">
        <f t="shared" si="71"/>
        <v>0</v>
      </c>
      <c r="F691" s="858">
        <v>250</v>
      </c>
      <c r="G691" s="858">
        <v>8</v>
      </c>
      <c r="H691" s="859">
        <f t="shared" si="72"/>
        <v>3.2000000000000001E-2</v>
      </c>
      <c r="I691" s="860">
        <f t="shared" si="75"/>
        <v>251</v>
      </c>
      <c r="J691" s="860">
        <f t="shared" si="75"/>
        <v>8</v>
      </c>
      <c r="K691" s="855">
        <f t="shared" si="73"/>
        <v>3.1872509960159362E-2</v>
      </c>
    </row>
    <row r="692" spans="1:11" ht="24.95" customHeight="1">
      <c r="A692" s="856" t="s">
        <v>2639</v>
      </c>
      <c r="B692" s="857" t="s">
        <v>3048</v>
      </c>
      <c r="C692" s="858">
        <v>60</v>
      </c>
      <c r="D692" s="858">
        <v>13</v>
      </c>
      <c r="E692" s="859">
        <f t="shared" si="71"/>
        <v>0.21666666666666667</v>
      </c>
      <c r="F692" s="858">
        <v>6</v>
      </c>
      <c r="G692" s="858"/>
      <c r="H692" s="859">
        <f t="shared" si="72"/>
        <v>0</v>
      </c>
      <c r="I692" s="860">
        <f t="shared" si="75"/>
        <v>66</v>
      </c>
      <c r="J692" s="860">
        <f t="shared" si="75"/>
        <v>13</v>
      </c>
      <c r="K692" s="855">
        <f t="shared" si="73"/>
        <v>0.19696969696969696</v>
      </c>
    </row>
    <row r="693" spans="1:11" ht="24.95" customHeight="1">
      <c r="A693" s="856" t="s">
        <v>2641</v>
      </c>
      <c r="B693" s="857" t="s">
        <v>3148</v>
      </c>
      <c r="C693" s="858"/>
      <c r="D693" s="858"/>
      <c r="E693" s="859" t="e">
        <f t="shared" si="71"/>
        <v>#DIV/0!</v>
      </c>
      <c r="F693" s="858">
        <v>10</v>
      </c>
      <c r="G693" s="858"/>
      <c r="H693" s="859">
        <f t="shared" si="72"/>
        <v>0</v>
      </c>
      <c r="I693" s="860">
        <f t="shared" si="75"/>
        <v>10</v>
      </c>
      <c r="J693" s="860">
        <f t="shared" si="75"/>
        <v>0</v>
      </c>
      <c r="K693" s="855">
        <f t="shared" si="73"/>
        <v>0</v>
      </c>
    </row>
    <row r="694" spans="1:11" ht="24.95" customHeight="1">
      <c r="A694" s="867" t="s">
        <v>2643</v>
      </c>
      <c r="B694" s="866" t="s">
        <v>2973</v>
      </c>
      <c r="C694" s="858"/>
      <c r="D694" s="858"/>
      <c r="E694" s="859" t="e">
        <f t="shared" si="71"/>
        <v>#DIV/0!</v>
      </c>
      <c r="F694" s="858">
        <v>950</v>
      </c>
      <c r="G694" s="858">
        <v>490</v>
      </c>
      <c r="H694" s="859">
        <f t="shared" si="72"/>
        <v>0.51578947368421058</v>
      </c>
      <c r="I694" s="860">
        <f t="shared" si="75"/>
        <v>950</v>
      </c>
      <c r="J694" s="860">
        <f t="shared" si="75"/>
        <v>490</v>
      </c>
      <c r="K694" s="855">
        <f t="shared" si="73"/>
        <v>0.51578947368421058</v>
      </c>
    </row>
    <row r="695" spans="1:11" ht="24.95" customHeight="1">
      <c r="A695" s="867" t="s">
        <v>2974</v>
      </c>
      <c r="B695" s="866" t="s">
        <v>2975</v>
      </c>
      <c r="C695" s="858"/>
      <c r="D695" s="858"/>
      <c r="E695" s="859" t="e">
        <f t="shared" si="71"/>
        <v>#DIV/0!</v>
      </c>
      <c r="F695" s="858"/>
      <c r="G695" s="858"/>
      <c r="H695" s="859" t="e">
        <f t="shared" si="72"/>
        <v>#DIV/0!</v>
      </c>
      <c r="I695" s="860">
        <f t="shared" si="75"/>
        <v>0</v>
      </c>
      <c r="J695" s="860">
        <f t="shared" si="75"/>
        <v>0</v>
      </c>
      <c r="K695" s="855" t="e">
        <f t="shared" si="73"/>
        <v>#DIV/0!</v>
      </c>
    </row>
    <row r="696" spans="1:11" ht="24.95" customHeight="1">
      <c r="A696" s="867" t="s">
        <v>2976</v>
      </c>
      <c r="B696" s="866" t="s">
        <v>3149</v>
      </c>
      <c r="C696" s="858"/>
      <c r="D696" s="858"/>
      <c r="E696" s="859" t="e">
        <f t="shared" si="71"/>
        <v>#DIV/0!</v>
      </c>
      <c r="F696" s="858"/>
      <c r="G696" s="858"/>
      <c r="H696" s="859" t="e">
        <f t="shared" si="72"/>
        <v>#DIV/0!</v>
      </c>
      <c r="I696" s="860">
        <f t="shared" si="75"/>
        <v>0</v>
      </c>
      <c r="J696" s="860">
        <f t="shared" si="75"/>
        <v>0</v>
      </c>
      <c r="K696" s="855" t="e">
        <f t="shared" si="73"/>
        <v>#DIV/0!</v>
      </c>
    </row>
    <row r="697" spans="1:11" ht="24.95" customHeight="1">
      <c r="A697" s="867" t="s">
        <v>2645</v>
      </c>
      <c r="B697" s="866" t="s">
        <v>3150</v>
      </c>
      <c r="C697" s="858"/>
      <c r="D697" s="858"/>
      <c r="E697" s="859" t="e">
        <f t="shared" si="71"/>
        <v>#DIV/0!</v>
      </c>
      <c r="F697" s="858">
        <v>2450</v>
      </c>
      <c r="G697" s="858">
        <v>1149</v>
      </c>
      <c r="H697" s="859">
        <f t="shared" si="72"/>
        <v>0.46897959183673471</v>
      </c>
      <c r="I697" s="860">
        <f t="shared" si="75"/>
        <v>2450</v>
      </c>
      <c r="J697" s="860">
        <f t="shared" si="75"/>
        <v>1149</v>
      </c>
      <c r="K697" s="855">
        <f t="shared" si="73"/>
        <v>0.46897959183673471</v>
      </c>
    </row>
    <row r="698" spans="1:11" ht="24.95" customHeight="1">
      <c r="A698" s="856" t="s">
        <v>2667</v>
      </c>
      <c r="B698" s="857" t="s">
        <v>3151</v>
      </c>
      <c r="C698" s="858">
        <v>15</v>
      </c>
      <c r="D698" s="858">
        <v>5</v>
      </c>
      <c r="E698" s="859">
        <f t="shared" si="71"/>
        <v>0.33333333333333331</v>
      </c>
      <c r="F698" s="858">
        <v>280</v>
      </c>
      <c r="G698" s="858">
        <v>111</v>
      </c>
      <c r="H698" s="859">
        <f t="shared" si="72"/>
        <v>0.39642857142857141</v>
      </c>
      <c r="I698" s="860">
        <f t="shared" si="75"/>
        <v>295</v>
      </c>
      <c r="J698" s="860">
        <f t="shared" si="75"/>
        <v>116</v>
      </c>
      <c r="K698" s="855">
        <f t="shared" si="73"/>
        <v>0.39322033898305087</v>
      </c>
    </row>
    <row r="699" spans="1:11" ht="24.95" customHeight="1">
      <c r="A699" s="856" t="s">
        <v>2669</v>
      </c>
      <c r="B699" s="871" t="s">
        <v>3005</v>
      </c>
      <c r="C699" s="858">
        <v>25</v>
      </c>
      <c r="D699" s="858">
        <v>8</v>
      </c>
      <c r="E699" s="859">
        <f t="shared" si="71"/>
        <v>0.32</v>
      </c>
      <c r="F699" s="858">
        <v>60</v>
      </c>
      <c r="G699" s="858">
        <v>39</v>
      </c>
      <c r="H699" s="859">
        <f t="shared" si="72"/>
        <v>0.65</v>
      </c>
      <c r="I699" s="860">
        <f t="shared" si="75"/>
        <v>85</v>
      </c>
      <c r="J699" s="860">
        <f t="shared" si="75"/>
        <v>47</v>
      </c>
      <c r="K699" s="855">
        <f t="shared" si="73"/>
        <v>0.55294117647058827</v>
      </c>
    </row>
    <row r="700" spans="1:11" ht="24.95" customHeight="1">
      <c r="A700" s="856">
        <v>250107</v>
      </c>
      <c r="B700" s="869" t="s">
        <v>3152</v>
      </c>
      <c r="C700" s="858"/>
      <c r="D700" s="858"/>
      <c r="E700" s="859" t="e">
        <f t="shared" si="71"/>
        <v>#DIV/0!</v>
      </c>
      <c r="F700" s="858"/>
      <c r="G700" s="858"/>
      <c r="H700" s="859" t="e">
        <f t="shared" si="72"/>
        <v>#DIV/0!</v>
      </c>
      <c r="I700" s="860">
        <f t="shared" si="75"/>
        <v>0</v>
      </c>
      <c r="J700" s="860">
        <f t="shared" si="75"/>
        <v>0</v>
      </c>
      <c r="K700" s="855" t="e">
        <f t="shared" si="73"/>
        <v>#DIV/0!</v>
      </c>
    </row>
    <row r="701" spans="1:11" ht="24.95" customHeight="1">
      <c r="A701" s="856"/>
      <c r="B701" s="872" t="s">
        <v>2</v>
      </c>
      <c r="C701" s="858">
        <f t="shared" ref="C701:I701" si="76">SUM(C644:C700)</f>
        <v>1813</v>
      </c>
      <c r="D701" s="858">
        <f>SUM(D644:D700)</f>
        <v>1062</v>
      </c>
      <c r="E701" s="859">
        <f t="shared" si="71"/>
        <v>0.58576944291230004</v>
      </c>
      <c r="F701" s="858">
        <f t="shared" si="76"/>
        <v>16616</v>
      </c>
      <c r="G701" s="858">
        <f>SUM(G644:G700)</f>
        <v>7569</v>
      </c>
      <c r="H701" s="859">
        <f t="shared" si="72"/>
        <v>0.45552479537794899</v>
      </c>
      <c r="I701" s="858">
        <f t="shared" si="76"/>
        <v>18424</v>
      </c>
      <c r="J701" s="860">
        <f t="shared" ref="J701" si="77">+D701+G701</f>
        <v>8631</v>
      </c>
      <c r="K701" s="855">
        <f t="shared" si="73"/>
        <v>0.46846504559270519</v>
      </c>
    </row>
    <row r="702" spans="1:11" ht="24.95" customHeight="1">
      <c r="A702" s="873"/>
      <c r="B702" s="874" t="s">
        <v>3102</v>
      </c>
      <c r="C702" s="2201"/>
      <c r="D702" s="2201"/>
      <c r="E702" s="2201"/>
      <c r="F702" s="2201"/>
      <c r="G702" s="2201"/>
      <c r="H702" s="2201"/>
      <c r="I702" s="2201"/>
      <c r="J702" s="770"/>
      <c r="K702" s="855"/>
    </row>
    <row r="703" spans="1:11" ht="24.95" customHeight="1">
      <c r="A703" s="856" t="s">
        <v>3115</v>
      </c>
      <c r="B703" s="857" t="s">
        <v>3053</v>
      </c>
      <c r="C703" s="858"/>
      <c r="D703" s="858"/>
      <c r="E703" s="859"/>
      <c r="F703" s="858">
        <v>0</v>
      </c>
      <c r="G703" s="858"/>
      <c r="H703" s="859" t="e">
        <f>+G703/F703</f>
        <v>#DIV/0!</v>
      </c>
      <c r="I703" s="860">
        <f>+F703</f>
        <v>0</v>
      </c>
      <c r="J703" s="860">
        <f>+G703</f>
        <v>0</v>
      </c>
      <c r="K703" s="855" t="e">
        <f>+J703/I703</f>
        <v>#DIV/0!</v>
      </c>
    </row>
    <row r="704" spans="1:11" ht="24.95" customHeight="1">
      <c r="A704" s="861" t="s">
        <v>2389</v>
      </c>
      <c r="B704" s="862" t="s">
        <v>2390</v>
      </c>
      <c r="C704" s="858"/>
      <c r="D704" s="858"/>
      <c r="E704" s="859"/>
      <c r="F704" s="858">
        <v>2</v>
      </c>
      <c r="G704" s="858">
        <v>2</v>
      </c>
      <c r="H704" s="859">
        <f t="shared" ref="H704:H723" si="78">+G704/F704</f>
        <v>1</v>
      </c>
      <c r="I704" s="860">
        <f t="shared" ref="I704:J720" si="79">+F704</f>
        <v>2</v>
      </c>
      <c r="J704" s="860">
        <f t="shared" si="79"/>
        <v>2</v>
      </c>
      <c r="K704" s="855">
        <f t="shared" ref="K704:K723" si="80">+J704/I704</f>
        <v>1</v>
      </c>
    </row>
    <row r="705" spans="1:11" ht="24.95" customHeight="1">
      <c r="A705" s="856" t="s">
        <v>2401</v>
      </c>
      <c r="B705" s="863" t="s">
        <v>2402</v>
      </c>
      <c r="C705" s="858"/>
      <c r="D705" s="858"/>
      <c r="E705" s="859"/>
      <c r="F705" s="858">
        <v>10</v>
      </c>
      <c r="G705" s="858">
        <v>6</v>
      </c>
      <c r="H705" s="859">
        <f t="shared" si="78"/>
        <v>0.6</v>
      </c>
      <c r="I705" s="860">
        <f t="shared" si="79"/>
        <v>10</v>
      </c>
      <c r="J705" s="860">
        <f t="shared" si="79"/>
        <v>6</v>
      </c>
      <c r="K705" s="855">
        <f t="shared" si="80"/>
        <v>0.6</v>
      </c>
    </row>
    <row r="706" spans="1:11" ht="24.95" customHeight="1">
      <c r="A706" s="861" t="s">
        <v>3127</v>
      </c>
      <c r="B706" s="862" t="s">
        <v>3128</v>
      </c>
      <c r="C706" s="858"/>
      <c r="D706" s="858"/>
      <c r="E706" s="859"/>
      <c r="F706" s="858">
        <v>5</v>
      </c>
      <c r="G706" s="858"/>
      <c r="H706" s="859">
        <f t="shared" si="78"/>
        <v>0</v>
      </c>
      <c r="I706" s="860">
        <f t="shared" si="79"/>
        <v>5</v>
      </c>
      <c r="J706" s="860">
        <f t="shared" si="79"/>
        <v>0</v>
      </c>
      <c r="K706" s="855">
        <f t="shared" si="80"/>
        <v>0</v>
      </c>
    </row>
    <row r="707" spans="1:11" ht="24.95" customHeight="1">
      <c r="A707" s="861" t="s">
        <v>3129</v>
      </c>
      <c r="B707" s="862" t="s">
        <v>3130</v>
      </c>
      <c r="C707" s="858"/>
      <c r="D707" s="858"/>
      <c r="E707" s="859"/>
      <c r="F707" s="858">
        <v>5</v>
      </c>
      <c r="G707" s="858"/>
      <c r="H707" s="859">
        <f t="shared" si="78"/>
        <v>0</v>
      </c>
      <c r="I707" s="860">
        <f t="shared" si="79"/>
        <v>5</v>
      </c>
      <c r="J707" s="860">
        <f t="shared" si="79"/>
        <v>0</v>
      </c>
      <c r="K707" s="855">
        <f t="shared" si="80"/>
        <v>0</v>
      </c>
    </row>
    <row r="708" spans="1:11" ht="24.95" customHeight="1">
      <c r="A708" s="861" t="s">
        <v>3153</v>
      </c>
      <c r="B708" s="862" t="s">
        <v>3154</v>
      </c>
      <c r="C708" s="858"/>
      <c r="D708" s="858"/>
      <c r="E708" s="859"/>
      <c r="F708" s="858">
        <v>0</v>
      </c>
      <c r="G708" s="858"/>
      <c r="H708" s="859" t="e">
        <f t="shared" si="78"/>
        <v>#DIV/0!</v>
      </c>
      <c r="I708" s="860">
        <f t="shared" si="79"/>
        <v>0</v>
      </c>
      <c r="J708" s="860">
        <f t="shared" si="79"/>
        <v>0</v>
      </c>
      <c r="K708" s="855" t="e">
        <f t="shared" si="80"/>
        <v>#DIV/0!</v>
      </c>
    </row>
    <row r="709" spans="1:11" ht="24.95" customHeight="1">
      <c r="A709" s="861" t="s">
        <v>2439</v>
      </c>
      <c r="B709" s="862" t="s">
        <v>2440</v>
      </c>
      <c r="C709" s="858"/>
      <c r="D709" s="858"/>
      <c r="E709" s="859"/>
      <c r="F709" s="858">
        <v>75</v>
      </c>
      <c r="G709" s="858">
        <v>36</v>
      </c>
      <c r="H709" s="859">
        <f t="shared" si="78"/>
        <v>0.48</v>
      </c>
      <c r="I709" s="860">
        <f t="shared" si="79"/>
        <v>75</v>
      </c>
      <c r="J709" s="860">
        <f t="shared" si="79"/>
        <v>36</v>
      </c>
      <c r="K709" s="855">
        <f t="shared" si="80"/>
        <v>0.48</v>
      </c>
    </row>
    <row r="710" spans="1:11" ht="24.95" customHeight="1">
      <c r="A710" s="861" t="s">
        <v>3155</v>
      </c>
      <c r="B710" s="862" t="s">
        <v>3146</v>
      </c>
      <c r="C710" s="858"/>
      <c r="D710" s="858"/>
      <c r="E710" s="859"/>
      <c r="F710" s="858">
        <v>2</v>
      </c>
      <c r="G710" s="858"/>
      <c r="H710" s="859">
        <f t="shared" si="78"/>
        <v>0</v>
      </c>
      <c r="I710" s="860">
        <f t="shared" si="79"/>
        <v>2</v>
      </c>
      <c r="J710" s="860">
        <f t="shared" si="79"/>
        <v>0</v>
      </c>
      <c r="K710" s="855">
        <f t="shared" si="80"/>
        <v>0</v>
      </c>
    </row>
    <row r="711" spans="1:11" ht="24.95" customHeight="1">
      <c r="A711" s="856" t="s">
        <v>2327</v>
      </c>
      <c r="B711" s="869" t="s">
        <v>2328</v>
      </c>
      <c r="C711" s="858"/>
      <c r="D711" s="858"/>
      <c r="E711" s="859"/>
      <c r="F711" s="858"/>
      <c r="G711" s="858"/>
      <c r="H711" s="859" t="e">
        <f t="shared" si="78"/>
        <v>#DIV/0!</v>
      </c>
      <c r="I711" s="860">
        <f t="shared" si="79"/>
        <v>0</v>
      </c>
      <c r="J711" s="860">
        <f t="shared" si="79"/>
        <v>0</v>
      </c>
      <c r="K711" s="855" t="e">
        <f t="shared" si="80"/>
        <v>#DIV/0!</v>
      </c>
    </row>
    <row r="712" spans="1:11" ht="24.95" customHeight="1">
      <c r="A712" s="856" t="s">
        <v>2176</v>
      </c>
      <c r="B712" s="869" t="s">
        <v>2177</v>
      </c>
      <c r="C712" s="858"/>
      <c r="D712" s="858"/>
      <c r="E712" s="859"/>
      <c r="F712" s="858"/>
      <c r="G712" s="858"/>
      <c r="H712" s="859" t="e">
        <f t="shared" si="78"/>
        <v>#DIV/0!</v>
      </c>
      <c r="I712" s="860">
        <f t="shared" si="79"/>
        <v>0</v>
      </c>
      <c r="J712" s="860">
        <f t="shared" si="79"/>
        <v>0</v>
      </c>
      <c r="K712" s="855" t="e">
        <f t="shared" si="80"/>
        <v>#DIV/0!</v>
      </c>
    </row>
    <row r="713" spans="1:11" ht="24.95" customHeight="1">
      <c r="A713" s="856" t="s">
        <v>2620</v>
      </c>
      <c r="B713" s="869" t="s">
        <v>2621</v>
      </c>
      <c r="C713" s="858"/>
      <c r="D713" s="858"/>
      <c r="E713" s="859"/>
      <c r="F713" s="858">
        <v>10</v>
      </c>
      <c r="G713" s="858">
        <v>1</v>
      </c>
      <c r="H713" s="859">
        <f t="shared" si="78"/>
        <v>0.1</v>
      </c>
      <c r="I713" s="860">
        <f t="shared" si="79"/>
        <v>10</v>
      </c>
      <c r="J713" s="860">
        <f t="shared" si="79"/>
        <v>1</v>
      </c>
      <c r="K713" s="855">
        <f t="shared" si="80"/>
        <v>0.1</v>
      </c>
    </row>
    <row r="714" spans="1:11" ht="24.95" customHeight="1">
      <c r="A714" s="856" t="s">
        <v>2624</v>
      </c>
      <c r="B714" s="869" t="s">
        <v>2330</v>
      </c>
      <c r="C714" s="858"/>
      <c r="D714" s="858"/>
      <c r="E714" s="859"/>
      <c r="F714" s="858">
        <v>100</v>
      </c>
      <c r="G714" s="858">
        <v>65</v>
      </c>
      <c r="H714" s="859">
        <f t="shared" si="78"/>
        <v>0.65</v>
      </c>
      <c r="I714" s="860">
        <f t="shared" si="79"/>
        <v>100</v>
      </c>
      <c r="J714" s="860">
        <f t="shared" si="79"/>
        <v>65</v>
      </c>
      <c r="K714" s="855">
        <f t="shared" si="80"/>
        <v>0.65</v>
      </c>
    </row>
    <row r="715" spans="1:11" ht="24.95" customHeight="1">
      <c r="A715" s="856" t="s">
        <v>2331</v>
      </c>
      <c r="B715" s="869" t="s">
        <v>2332</v>
      </c>
      <c r="C715" s="858"/>
      <c r="D715" s="858"/>
      <c r="E715" s="859"/>
      <c r="F715" s="858">
        <v>30</v>
      </c>
      <c r="G715" s="858">
        <v>12</v>
      </c>
      <c r="H715" s="859">
        <f t="shared" si="78"/>
        <v>0.4</v>
      </c>
      <c r="I715" s="860">
        <f t="shared" si="79"/>
        <v>30</v>
      </c>
      <c r="J715" s="860">
        <f t="shared" si="79"/>
        <v>12</v>
      </c>
      <c r="K715" s="855">
        <f t="shared" si="80"/>
        <v>0.4</v>
      </c>
    </row>
    <row r="716" spans="1:11" ht="24.95" customHeight="1">
      <c r="A716" s="856" t="s">
        <v>2629</v>
      </c>
      <c r="B716" s="869" t="s">
        <v>2630</v>
      </c>
      <c r="C716" s="858"/>
      <c r="D716" s="858"/>
      <c r="E716" s="859"/>
      <c r="F716" s="858">
        <v>5</v>
      </c>
      <c r="G716" s="858">
        <v>2</v>
      </c>
      <c r="H716" s="859">
        <f t="shared" si="78"/>
        <v>0.4</v>
      </c>
      <c r="I716" s="860">
        <f t="shared" si="79"/>
        <v>5</v>
      </c>
      <c r="J716" s="860">
        <f t="shared" si="79"/>
        <v>2</v>
      </c>
      <c r="K716" s="855">
        <f t="shared" si="80"/>
        <v>0.4</v>
      </c>
    </row>
    <row r="717" spans="1:11" ht="24.95" customHeight="1">
      <c r="A717" s="867" t="s">
        <v>2631</v>
      </c>
      <c r="B717" s="870" t="s">
        <v>2632</v>
      </c>
      <c r="C717" s="858"/>
      <c r="D717" s="858"/>
      <c r="E717" s="859"/>
      <c r="F717" s="858">
        <v>100</v>
      </c>
      <c r="G717" s="858">
        <v>49</v>
      </c>
      <c r="H717" s="859">
        <f t="shared" si="78"/>
        <v>0.49</v>
      </c>
      <c r="I717" s="860">
        <f t="shared" si="79"/>
        <v>100</v>
      </c>
      <c r="J717" s="860">
        <f t="shared" si="79"/>
        <v>49</v>
      </c>
      <c r="K717" s="855">
        <f t="shared" si="80"/>
        <v>0.49</v>
      </c>
    </row>
    <row r="718" spans="1:11" ht="24.95" customHeight="1">
      <c r="A718" s="856" t="s">
        <v>2178</v>
      </c>
      <c r="B718" s="869" t="s">
        <v>2179</v>
      </c>
      <c r="C718" s="858"/>
      <c r="D718" s="858"/>
      <c r="E718" s="859"/>
      <c r="F718" s="858">
        <v>55</v>
      </c>
      <c r="G718" s="858">
        <v>13</v>
      </c>
      <c r="H718" s="859">
        <f t="shared" si="78"/>
        <v>0.23636363636363636</v>
      </c>
      <c r="I718" s="860">
        <f t="shared" si="79"/>
        <v>55</v>
      </c>
      <c r="J718" s="860">
        <f t="shared" si="79"/>
        <v>13</v>
      </c>
      <c r="K718" s="855">
        <f t="shared" si="80"/>
        <v>0.23636363636363636</v>
      </c>
    </row>
    <row r="719" spans="1:11" ht="24.95" customHeight="1">
      <c r="A719" s="856" t="s">
        <v>2645</v>
      </c>
      <c r="B719" s="869" t="s">
        <v>3156</v>
      </c>
      <c r="C719" s="858"/>
      <c r="D719" s="858"/>
      <c r="E719" s="859"/>
      <c r="F719" s="858">
        <v>5</v>
      </c>
      <c r="G719" s="858"/>
      <c r="H719" s="859">
        <f t="shared" si="78"/>
        <v>0</v>
      </c>
      <c r="I719" s="860">
        <f t="shared" si="79"/>
        <v>5</v>
      </c>
      <c r="J719" s="860">
        <f t="shared" si="79"/>
        <v>0</v>
      </c>
      <c r="K719" s="855">
        <f t="shared" si="80"/>
        <v>0</v>
      </c>
    </row>
    <row r="720" spans="1:11" ht="24.95" customHeight="1">
      <c r="A720" s="856" t="s">
        <v>2667</v>
      </c>
      <c r="B720" s="869" t="s">
        <v>3151</v>
      </c>
      <c r="C720" s="858"/>
      <c r="D720" s="858"/>
      <c r="E720" s="859"/>
      <c r="F720" s="858">
        <v>2</v>
      </c>
      <c r="G720" s="858"/>
      <c r="H720" s="859">
        <f t="shared" si="78"/>
        <v>0</v>
      </c>
      <c r="I720" s="860">
        <f t="shared" si="79"/>
        <v>2</v>
      </c>
      <c r="J720" s="860">
        <f t="shared" si="79"/>
        <v>0</v>
      </c>
      <c r="K720" s="855">
        <f t="shared" si="80"/>
        <v>0</v>
      </c>
    </row>
    <row r="721" spans="1:11" ht="24.95" customHeight="1">
      <c r="A721" s="875"/>
      <c r="B721" s="876" t="s">
        <v>3157</v>
      </c>
      <c r="C721" s="877">
        <f t="shared" ref="C721:J721" si="81">SUM(C703:C720)</f>
        <v>0</v>
      </c>
      <c r="D721" s="877"/>
      <c r="E721" s="878"/>
      <c r="F721" s="877">
        <f t="shared" si="81"/>
        <v>406</v>
      </c>
      <c r="G721" s="877">
        <f>SUM(G703:G720)</f>
        <v>186</v>
      </c>
      <c r="H721" s="859">
        <f t="shared" si="78"/>
        <v>0.45812807881773399</v>
      </c>
      <c r="I721" s="877">
        <f t="shared" si="81"/>
        <v>406</v>
      </c>
      <c r="J721" s="877">
        <f t="shared" si="81"/>
        <v>186</v>
      </c>
      <c r="K721" s="855">
        <f t="shared" si="80"/>
        <v>0.45812807881773399</v>
      </c>
    </row>
    <row r="722" spans="1:11" ht="24.95" customHeight="1">
      <c r="A722" s="853"/>
      <c r="B722" s="879" t="s">
        <v>3158</v>
      </c>
      <c r="C722" s="877">
        <f t="shared" ref="C722:J722" si="82">+C701</f>
        <v>1813</v>
      </c>
      <c r="D722" s="877"/>
      <c r="E722" s="878"/>
      <c r="F722" s="877">
        <f t="shared" si="82"/>
        <v>16616</v>
      </c>
      <c r="G722" s="877">
        <f t="shared" si="82"/>
        <v>7569</v>
      </c>
      <c r="H722" s="859">
        <f t="shared" si="78"/>
        <v>0.45552479537794899</v>
      </c>
      <c r="I722" s="877">
        <f t="shared" si="82"/>
        <v>18424</v>
      </c>
      <c r="J722" s="877">
        <f t="shared" si="82"/>
        <v>8631</v>
      </c>
      <c r="K722" s="855">
        <f t="shared" si="80"/>
        <v>0.46846504559270519</v>
      </c>
    </row>
    <row r="723" spans="1:11" ht="24.95" customHeight="1">
      <c r="A723" s="853"/>
      <c r="B723" s="879" t="s">
        <v>2671</v>
      </c>
      <c r="C723" s="880">
        <f t="shared" ref="C723:J723" si="83">+C721+C722</f>
        <v>1813</v>
      </c>
      <c r="D723" s="880"/>
      <c r="E723" s="881"/>
      <c r="F723" s="880">
        <f t="shared" si="83"/>
        <v>17022</v>
      </c>
      <c r="G723" s="880">
        <f t="shared" si="83"/>
        <v>7755</v>
      </c>
      <c r="H723" s="859">
        <f t="shared" si="78"/>
        <v>0.45558688755727883</v>
      </c>
      <c r="I723" s="880">
        <f t="shared" si="83"/>
        <v>18830</v>
      </c>
      <c r="J723" s="880">
        <f t="shared" si="83"/>
        <v>8817</v>
      </c>
      <c r="K723" s="855">
        <f t="shared" si="80"/>
        <v>0.46824216675517788</v>
      </c>
    </row>
    <row r="724" spans="1:11" ht="24.95" customHeight="1">
      <c r="A724" s="2202" t="s">
        <v>149</v>
      </c>
      <c r="B724" s="2202"/>
      <c r="C724" s="2203"/>
      <c r="D724" s="2203"/>
      <c r="E724" s="2203"/>
      <c r="F724" s="2203"/>
      <c r="G724" s="2203"/>
      <c r="H724" s="2203"/>
      <c r="I724" s="2203"/>
      <c r="J724" s="711"/>
      <c r="K724" s="882"/>
    </row>
    <row r="725" spans="1:11" ht="24.95" customHeight="1">
      <c r="A725" s="711" t="s">
        <v>3159</v>
      </c>
      <c r="B725" s="711"/>
      <c r="C725" s="883"/>
      <c r="D725" s="883"/>
      <c r="E725" s="884"/>
      <c r="F725" s="883"/>
      <c r="G725" s="883"/>
      <c r="H725" s="884"/>
      <c r="I725" s="883"/>
      <c r="J725" s="711"/>
      <c r="K725" s="882"/>
    </row>
    <row r="726" spans="1:11" ht="24.95" customHeight="1">
      <c r="A726" s="711"/>
      <c r="B726" s="711"/>
      <c r="C726" s="883"/>
      <c r="D726" s="883"/>
      <c r="E726" s="884"/>
      <c r="F726" s="883"/>
      <c r="G726" s="883"/>
      <c r="H726" s="884"/>
      <c r="I726" s="883"/>
      <c r="J726" s="711"/>
      <c r="K726" s="882"/>
    </row>
    <row r="727" spans="1:11" s="741" customFormat="1" ht="24.95" customHeight="1">
      <c r="A727" s="849"/>
      <c r="B727" s="850" t="s">
        <v>208</v>
      </c>
      <c r="C727" s="1960" t="s">
        <v>1852</v>
      </c>
      <c r="D727" s="1961"/>
      <c r="E727" s="1961"/>
      <c r="F727" s="1961"/>
      <c r="G727" s="1961"/>
      <c r="H727" s="1961"/>
      <c r="I727" s="1961"/>
      <c r="J727" s="1961"/>
      <c r="K727" s="1961"/>
    </row>
    <row r="728" spans="1:11" s="741" customFormat="1" ht="24.95" customHeight="1">
      <c r="A728" s="851"/>
      <c r="B728" s="852" t="s">
        <v>209</v>
      </c>
      <c r="C728" s="1958">
        <v>17878735</v>
      </c>
      <c r="D728" s="1959"/>
      <c r="E728" s="1959"/>
      <c r="F728" s="1959"/>
      <c r="G728" s="1959"/>
      <c r="H728" s="1959"/>
      <c r="I728" s="1959"/>
      <c r="J728" s="1959"/>
      <c r="K728" s="1959"/>
    </row>
    <row r="729" spans="1:11" s="741" customFormat="1" ht="24.95" customHeight="1">
      <c r="A729" s="851"/>
      <c r="B729" s="852" t="s">
        <v>211</v>
      </c>
      <c r="C729" s="1960" t="s">
        <v>1812</v>
      </c>
      <c r="D729" s="1961"/>
      <c r="E729" s="1961"/>
      <c r="F729" s="1961"/>
      <c r="G729" s="1961"/>
      <c r="H729" s="1961"/>
      <c r="I729" s="1961"/>
      <c r="J729" s="1961"/>
      <c r="K729" s="1961"/>
    </row>
    <row r="730" spans="1:11" ht="24.95" customHeight="1">
      <c r="A730" s="885"/>
      <c r="B730" s="852" t="s">
        <v>210</v>
      </c>
      <c r="C730" s="2042" t="s">
        <v>331</v>
      </c>
      <c r="D730" s="2043"/>
      <c r="E730" s="2043"/>
      <c r="F730" s="2043"/>
      <c r="G730" s="2043"/>
      <c r="H730" s="2043"/>
      <c r="I730" s="2043"/>
      <c r="J730" s="2043"/>
      <c r="K730" s="2043"/>
    </row>
    <row r="731" spans="1:11" ht="24.95" customHeight="1">
      <c r="A731" s="885"/>
      <c r="B731" s="852" t="s">
        <v>251</v>
      </c>
      <c r="C731" s="2084" t="s">
        <v>1896</v>
      </c>
      <c r="D731" s="2085"/>
      <c r="E731" s="2085"/>
      <c r="F731" s="2085"/>
      <c r="G731" s="2085"/>
      <c r="H731" s="2085"/>
      <c r="I731" s="2085"/>
      <c r="J731" s="2085"/>
      <c r="K731" s="2085"/>
    </row>
    <row r="732" spans="1:11" ht="24.95" customHeight="1">
      <c r="A732" s="2198" t="s">
        <v>122</v>
      </c>
      <c r="B732" s="2198" t="s">
        <v>253</v>
      </c>
      <c r="C732" s="2200" t="s">
        <v>2038</v>
      </c>
      <c r="D732" s="2200"/>
      <c r="E732" s="2200"/>
      <c r="F732" s="2200" t="s">
        <v>2039</v>
      </c>
      <c r="G732" s="2200"/>
      <c r="H732" s="2200"/>
      <c r="I732" s="2200" t="s">
        <v>90</v>
      </c>
      <c r="J732" s="2200"/>
      <c r="K732" s="2200"/>
    </row>
    <row r="733" spans="1:11" ht="24.95" customHeight="1">
      <c r="A733" s="2199"/>
      <c r="B733" s="2199"/>
      <c r="C733" s="673" t="s">
        <v>368</v>
      </c>
      <c r="D733" s="547" t="s">
        <v>2040</v>
      </c>
      <c r="E733" s="546" t="s">
        <v>2041</v>
      </c>
      <c r="F733" s="673" t="s">
        <v>368</v>
      </c>
      <c r="G733" s="547" t="s">
        <v>2040</v>
      </c>
      <c r="H733" s="546" t="s">
        <v>2041</v>
      </c>
      <c r="I733" s="673" t="s">
        <v>368</v>
      </c>
      <c r="J733" s="547" t="s">
        <v>2040</v>
      </c>
      <c r="K733" s="546" t="s">
        <v>2041</v>
      </c>
    </row>
    <row r="734" spans="1:11" ht="24.95" customHeight="1">
      <c r="A734" s="853"/>
      <c r="B734" s="886" t="s">
        <v>2372</v>
      </c>
      <c r="C734" s="2192"/>
      <c r="D734" s="2192"/>
      <c r="E734" s="2192"/>
      <c r="F734" s="2192"/>
      <c r="G734" s="2192"/>
      <c r="H734" s="2192"/>
      <c r="I734" s="2192"/>
      <c r="J734" s="2192"/>
      <c r="K734" s="2192"/>
    </row>
    <row r="735" spans="1:11" ht="24.95" customHeight="1">
      <c r="A735" s="887" t="s">
        <v>3160</v>
      </c>
      <c r="B735" s="888" t="s">
        <v>3161</v>
      </c>
      <c r="C735" s="889">
        <v>4</v>
      </c>
      <c r="D735" s="889"/>
      <c r="E735" s="890">
        <f>+D735/C735</f>
        <v>0</v>
      </c>
      <c r="F735" s="889">
        <v>17</v>
      </c>
      <c r="G735" s="889"/>
      <c r="H735" s="890">
        <f>+G735/F735</f>
        <v>0</v>
      </c>
      <c r="I735" s="889"/>
      <c r="J735" s="695">
        <f>+D735+G735</f>
        <v>0</v>
      </c>
      <c r="K735" s="855" t="e">
        <f>+J735/I735</f>
        <v>#DIV/0!</v>
      </c>
    </row>
    <row r="736" spans="1:11" ht="24.95" customHeight="1">
      <c r="A736" s="887" t="s">
        <v>3162</v>
      </c>
      <c r="B736" s="888" t="s">
        <v>3163</v>
      </c>
      <c r="C736" s="889">
        <v>1</v>
      </c>
      <c r="D736" s="889"/>
      <c r="E736" s="890">
        <f t="shared" ref="E736:E799" si="84">+D736/C736</f>
        <v>0</v>
      </c>
      <c r="F736" s="889"/>
      <c r="G736" s="889"/>
      <c r="H736" s="890" t="e">
        <f t="shared" ref="H736:H799" si="85">+G736/F736</f>
        <v>#DIV/0!</v>
      </c>
      <c r="I736" s="889"/>
      <c r="J736" s="695">
        <f t="shared" ref="J736:J799" si="86">+D736+G736</f>
        <v>0</v>
      </c>
      <c r="K736" s="855" t="e">
        <f t="shared" ref="K736:K799" si="87">+J736/I736</f>
        <v>#DIV/0!</v>
      </c>
    </row>
    <row r="737" spans="1:11" ht="24.95" customHeight="1">
      <c r="A737" s="887" t="s">
        <v>3164</v>
      </c>
      <c r="B737" s="888" t="s">
        <v>3165</v>
      </c>
      <c r="C737" s="889"/>
      <c r="D737" s="889"/>
      <c r="E737" s="890" t="e">
        <f t="shared" si="84"/>
        <v>#DIV/0!</v>
      </c>
      <c r="F737" s="889">
        <v>1</v>
      </c>
      <c r="G737" s="889"/>
      <c r="H737" s="890">
        <f t="shared" si="85"/>
        <v>0</v>
      </c>
      <c r="I737" s="889"/>
      <c r="J737" s="695">
        <f t="shared" si="86"/>
        <v>0</v>
      </c>
      <c r="K737" s="855" t="e">
        <f t="shared" si="87"/>
        <v>#DIV/0!</v>
      </c>
    </row>
    <row r="738" spans="1:11" ht="24.95" customHeight="1">
      <c r="A738" s="891" t="s">
        <v>3166</v>
      </c>
      <c r="B738" s="892" t="s">
        <v>3167</v>
      </c>
      <c r="C738" s="893">
        <v>506</v>
      </c>
      <c r="D738" s="893">
        <v>244</v>
      </c>
      <c r="E738" s="890">
        <f t="shared" si="84"/>
        <v>0.48221343873517786</v>
      </c>
      <c r="F738" s="894">
        <v>60</v>
      </c>
      <c r="G738" s="894">
        <v>26</v>
      </c>
      <c r="H738" s="890">
        <f t="shared" si="85"/>
        <v>0.43333333333333335</v>
      </c>
      <c r="I738" s="895">
        <f t="shared" ref="I738:I758" si="88">+C738+F738</f>
        <v>566</v>
      </c>
      <c r="J738" s="695">
        <f t="shared" si="86"/>
        <v>270</v>
      </c>
      <c r="K738" s="855">
        <f t="shared" si="87"/>
        <v>0.47703180212014135</v>
      </c>
    </row>
    <row r="739" spans="1:11" ht="24.95" customHeight="1">
      <c r="A739" s="867" t="s">
        <v>3168</v>
      </c>
      <c r="B739" s="896" t="s">
        <v>3169</v>
      </c>
      <c r="C739" s="893">
        <v>205</v>
      </c>
      <c r="D739" s="893">
        <v>71</v>
      </c>
      <c r="E739" s="890">
        <f t="shared" si="84"/>
        <v>0.34634146341463412</v>
      </c>
      <c r="F739" s="894">
        <v>5</v>
      </c>
      <c r="G739" s="894">
        <v>5</v>
      </c>
      <c r="H739" s="890">
        <f t="shared" si="85"/>
        <v>1</v>
      </c>
      <c r="I739" s="895">
        <f t="shared" si="88"/>
        <v>210</v>
      </c>
      <c r="J739" s="695">
        <f t="shared" si="86"/>
        <v>76</v>
      </c>
      <c r="K739" s="855">
        <f t="shared" si="87"/>
        <v>0.3619047619047619</v>
      </c>
    </row>
    <row r="740" spans="1:11" ht="24.95" customHeight="1">
      <c r="A740" s="867" t="s">
        <v>3170</v>
      </c>
      <c r="B740" s="897" t="s">
        <v>3171</v>
      </c>
      <c r="C740" s="893">
        <v>375</v>
      </c>
      <c r="D740" s="893">
        <v>71</v>
      </c>
      <c r="E740" s="890">
        <f t="shared" si="84"/>
        <v>0.18933333333333333</v>
      </c>
      <c r="F740" s="893">
        <v>5</v>
      </c>
      <c r="G740" s="893">
        <v>4</v>
      </c>
      <c r="H740" s="890">
        <f t="shared" si="85"/>
        <v>0.8</v>
      </c>
      <c r="I740" s="895">
        <f t="shared" si="88"/>
        <v>380</v>
      </c>
      <c r="J740" s="695">
        <f t="shared" si="86"/>
        <v>75</v>
      </c>
      <c r="K740" s="855">
        <f t="shared" si="87"/>
        <v>0.19736842105263158</v>
      </c>
    </row>
    <row r="741" spans="1:11" ht="24.95" customHeight="1">
      <c r="A741" s="867" t="s">
        <v>3172</v>
      </c>
      <c r="B741" s="897" t="s">
        <v>3173</v>
      </c>
      <c r="C741" s="893">
        <v>290</v>
      </c>
      <c r="D741" s="893">
        <v>71</v>
      </c>
      <c r="E741" s="890">
        <f t="shared" si="84"/>
        <v>0.24482758620689654</v>
      </c>
      <c r="F741" s="893">
        <v>5</v>
      </c>
      <c r="G741" s="893">
        <v>4</v>
      </c>
      <c r="H741" s="890">
        <f t="shared" si="85"/>
        <v>0.8</v>
      </c>
      <c r="I741" s="895">
        <f t="shared" si="88"/>
        <v>295</v>
      </c>
      <c r="J741" s="695">
        <f t="shared" si="86"/>
        <v>75</v>
      </c>
      <c r="K741" s="855">
        <f t="shared" si="87"/>
        <v>0.25423728813559321</v>
      </c>
    </row>
    <row r="742" spans="1:11" ht="24.95" customHeight="1">
      <c r="A742" s="856" t="s">
        <v>3174</v>
      </c>
      <c r="B742" s="898" t="s">
        <v>3175</v>
      </c>
      <c r="C742" s="893">
        <v>50</v>
      </c>
      <c r="D742" s="893">
        <v>22</v>
      </c>
      <c r="E742" s="890">
        <f t="shared" si="84"/>
        <v>0.44</v>
      </c>
      <c r="F742" s="893">
        <v>11</v>
      </c>
      <c r="G742" s="893">
        <v>3</v>
      </c>
      <c r="H742" s="890">
        <f t="shared" si="85"/>
        <v>0.27272727272727271</v>
      </c>
      <c r="I742" s="895">
        <f t="shared" si="88"/>
        <v>61</v>
      </c>
      <c r="J742" s="695">
        <f t="shared" si="86"/>
        <v>25</v>
      </c>
      <c r="K742" s="855">
        <f t="shared" si="87"/>
        <v>0.4098360655737705</v>
      </c>
    </row>
    <row r="743" spans="1:11" ht="24.95" customHeight="1">
      <c r="A743" s="856" t="s">
        <v>3013</v>
      </c>
      <c r="B743" s="898" t="s">
        <v>3176</v>
      </c>
      <c r="C743" s="893">
        <v>5</v>
      </c>
      <c r="D743" s="893"/>
      <c r="E743" s="890">
        <f t="shared" si="84"/>
        <v>0</v>
      </c>
      <c r="F743" s="893">
        <v>700</v>
      </c>
      <c r="G743" s="893">
        <v>293</v>
      </c>
      <c r="H743" s="890">
        <f t="shared" si="85"/>
        <v>0.41857142857142859</v>
      </c>
      <c r="I743" s="895">
        <f t="shared" si="88"/>
        <v>705</v>
      </c>
      <c r="J743" s="695">
        <f t="shared" si="86"/>
        <v>293</v>
      </c>
      <c r="K743" s="855">
        <f t="shared" si="87"/>
        <v>0.41560283687943261</v>
      </c>
    </row>
    <row r="744" spans="1:11" ht="24.95" customHeight="1">
      <c r="A744" s="856">
        <v>130207</v>
      </c>
      <c r="B744" s="899" t="s">
        <v>2390</v>
      </c>
      <c r="C744" s="893"/>
      <c r="D744" s="893"/>
      <c r="E744" s="890" t="e">
        <f t="shared" si="84"/>
        <v>#DIV/0!</v>
      </c>
      <c r="F744" s="893">
        <v>20</v>
      </c>
      <c r="G744" s="893"/>
      <c r="H744" s="890">
        <f t="shared" si="85"/>
        <v>0</v>
      </c>
      <c r="I744" s="895">
        <f t="shared" si="88"/>
        <v>20</v>
      </c>
      <c r="J744" s="695">
        <f t="shared" si="86"/>
        <v>0</v>
      </c>
      <c r="K744" s="855">
        <f t="shared" si="87"/>
        <v>0</v>
      </c>
    </row>
    <row r="745" spans="1:11" ht="24.95" customHeight="1">
      <c r="A745" s="856" t="s">
        <v>3177</v>
      </c>
      <c r="B745" s="899" t="s">
        <v>3178</v>
      </c>
      <c r="C745" s="893"/>
      <c r="D745" s="893"/>
      <c r="E745" s="890" t="e">
        <f t="shared" si="84"/>
        <v>#DIV/0!</v>
      </c>
      <c r="F745" s="893">
        <v>2</v>
      </c>
      <c r="G745" s="893"/>
      <c r="H745" s="890">
        <f t="shared" si="85"/>
        <v>0</v>
      </c>
      <c r="I745" s="895">
        <f t="shared" si="88"/>
        <v>2</v>
      </c>
      <c r="J745" s="695">
        <f t="shared" si="86"/>
        <v>0</v>
      </c>
      <c r="K745" s="855">
        <f t="shared" si="87"/>
        <v>0</v>
      </c>
    </row>
    <row r="746" spans="1:11" ht="24.95" customHeight="1">
      <c r="A746" s="856" t="s">
        <v>3179</v>
      </c>
      <c r="B746" s="899" t="s">
        <v>3180</v>
      </c>
      <c r="C746" s="893"/>
      <c r="D746" s="893"/>
      <c r="E746" s="890" t="e">
        <f t="shared" si="84"/>
        <v>#DIV/0!</v>
      </c>
      <c r="F746" s="893">
        <v>15</v>
      </c>
      <c r="G746" s="893"/>
      <c r="H746" s="890">
        <f t="shared" si="85"/>
        <v>0</v>
      </c>
      <c r="I746" s="895">
        <f t="shared" si="88"/>
        <v>15</v>
      </c>
      <c r="J746" s="695">
        <f t="shared" si="86"/>
        <v>0</v>
      </c>
      <c r="K746" s="855">
        <f t="shared" si="87"/>
        <v>0</v>
      </c>
    </row>
    <row r="747" spans="1:11" ht="24.95" customHeight="1">
      <c r="A747" s="856" t="s">
        <v>3181</v>
      </c>
      <c r="B747" s="899" t="s">
        <v>3182</v>
      </c>
      <c r="C747" s="893"/>
      <c r="D747" s="893"/>
      <c r="E747" s="890" t="e">
        <f t="shared" si="84"/>
        <v>#DIV/0!</v>
      </c>
      <c r="F747" s="893">
        <v>20</v>
      </c>
      <c r="G747" s="893">
        <v>2</v>
      </c>
      <c r="H747" s="890">
        <f t="shared" si="85"/>
        <v>0.1</v>
      </c>
      <c r="I747" s="895">
        <f t="shared" si="88"/>
        <v>20</v>
      </c>
      <c r="J747" s="695">
        <f t="shared" si="86"/>
        <v>2</v>
      </c>
      <c r="K747" s="855">
        <f t="shared" si="87"/>
        <v>0.1</v>
      </c>
    </row>
    <row r="748" spans="1:11" ht="24.95" customHeight="1">
      <c r="A748" s="856" t="s">
        <v>2401</v>
      </c>
      <c r="B748" s="900" t="s">
        <v>2402</v>
      </c>
      <c r="C748" s="893">
        <v>10</v>
      </c>
      <c r="D748" s="893">
        <v>5</v>
      </c>
      <c r="E748" s="890">
        <f t="shared" si="84"/>
        <v>0.5</v>
      </c>
      <c r="F748" s="893">
        <v>1150</v>
      </c>
      <c r="G748" s="893">
        <v>519</v>
      </c>
      <c r="H748" s="890">
        <f t="shared" si="85"/>
        <v>0.45130434782608697</v>
      </c>
      <c r="I748" s="895">
        <f t="shared" si="88"/>
        <v>1160</v>
      </c>
      <c r="J748" s="695">
        <f t="shared" si="86"/>
        <v>524</v>
      </c>
      <c r="K748" s="855">
        <f t="shared" si="87"/>
        <v>0.4517241379310345</v>
      </c>
    </row>
    <row r="749" spans="1:11" ht="24.95" customHeight="1">
      <c r="A749" s="856">
        <v>241021</v>
      </c>
      <c r="B749" s="900" t="s">
        <v>3183</v>
      </c>
      <c r="C749" s="893">
        <v>5</v>
      </c>
      <c r="D749" s="893">
        <v>1</v>
      </c>
      <c r="E749" s="890">
        <f t="shared" si="84"/>
        <v>0.2</v>
      </c>
      <c r="F749" s="893">
        <v>30</v>
      </c>
      <c r="G749" s="893">
        <v>1</v>
      </c>
      <c r="H749" s="890">
        <f t="shared" si="85"/>
        <v>3.3333333333333333E-2</v>
      </c>
      <c r="I749" s="895">
        <f t="shared" si="88"/>
        <v>35</v>
      </c>
      <c r="J749" s="695">
        <f t="shared" si="86"/>
        <v>2</v>
      </c>
      <c r="K749" s="855">
        <f t="shared" si="87"/>
        <v>5.7142857142857141E-2</v>
      </c>
    </row>
    <row r="750" spans="1:11" ht="24.95" customHeight="1">
      <c r="A750" s="856">
        <v>250107</v>
      </c>
      <c r="B750" s="900" t="s">
        <v>3184</v>
      </c>
      <c r="C750" s="893"/>
      <c r="D750" s="893"/>
      <c r="E750" s="890" t="e">
        <f t="shared" si="84"/>
        <v>#DIV/0!</v>
      </c>
      <c r="F750" s="893">
        <v>155</v>
      </c>
      <c r="G750" s="893">
        <v>68</v>
      </c>
      <c r="H750" s="890">
        <f t="shared" si="85"/>
        <v>0.43870967741935485</v>
      </c>
      <c r="I750" s="895">
        <f t="shared" si="88"/>
        <v>155</v>
      </c>
      <c r="J750" s="695">
        <f t="shared" si="86"/>
        <v>68</v>
      </c>
      <c r="K750" s="855">
        <f t="shared" si="87"/>
        <v>0.43870967741935485</v>
      </c>
    </row>
    <row r="751" spans="1:11" ht="24.95" customHeight="1">
      <c r="A751" s="856">
        <v>260076</v>
      </c>
      <c r="B751" s="900" t="s">
        <v>3185</v>
      </c>
      <c r="C751" s="893"/>
      <c r="D751" s="893"/>
      <c r="E751" s="890" t="e">
        <f t="shared" si="84"/>
        <v>#DIV/0!</v>
      </c>
      <c r="F751" s="893">
        <v>2</v>
      </c>
      <c r="G751" s="893"/>
      <c r="H751" s="890">
        <f t="shared" si="85"/>
        <v>0</v>
      </c>
      <c r="I751" s="895">
        <f t="shared" si="88"/>
        <v>2</v>
      </c>
      <c r="J751" s="695">
        <f t="shared" si="86"/>
        <v>0</v>
      </c>
      <c r="K751" s="855">
        <f t="shared" si="87"/>
        <v>0</v>
      </c>
    </row>
    <row r="752" spans="1:11" ht="24.95" customHeight="1">
      <c r="A752" s="856">
        <v>260092</v>
      </c>
      <c r="B752" s="900" t="s">
        <v>3186</v>
      </c>
      <c r="C752" s="893"/>
      <c r="D752" s="893"/>
      <c r="E752" s="890" t="e">
        <f t="shared" si="84"/>
        <v>#DIV/0!</v>
      </c>
      <c r="F752" s="893">
        <v>5</v>
      </c>
      <c r="G752" s="893"/>
      <c r="H752" s="890">
        <f t="shared" si="85"/>
        <v>0</v>
      </c>
      <c r="I752" s="895">
        <f t="shared" si="88"/>
        <v>5</v>
      </c>
      <c r="J752" s="695">
        <f t="shared" si="86"/>
        <v>0</v>
      </c>
      <c r="K752" s="855">
        <f t="shared" si="87"/>
        <v>0</v>
      </c>
    </row>
    <row r="753" spans="1:11" ht="24.95" customHeight="1">
      <c r="A753" s="856">
        <v>260100</v>
      </c>
      <c r="B753" s="900" t="s">
        <v>3187</v>
      </c>
      <c r="C753" s="893"/>
      <c r="D753" s="893"/>
      <c r="E753" s="890" t="e">
        <f t="shared" si="84"/>
        <v>#DIV/0!</v>
      </c>
      <c r="F753" s="893">
        <v>115</v>
      </c>
      <c r="G753" s="893">
        <v>115</v>
      </c>
      <c r="H753" s="890">
        <f t="shared" si="85"/>
        <v>1</v>
      </c>
      <c r="I753" s="895">
        <f t="shared" si="88"/>
        <v>115</v>
      </c>
      <c r="J753" s="695">
        <f t="shared" si="86"/>
        <v>115</v>
      </c>
      <c r="K753" s="855">
        <f t="shared" si="87"/>
        <v>1</v>
      </c>
    </row>
    <row r="754" spans="1:11" ht="24.95" customHeight="1">
      <c r="A754" s="856" t="s">
        <v>2423</v>
      </c>
      <c r="B754" s="900" t="s">
        <v>2424</v>
      </c>
      <c r="C754" s="893"/>
      <c r="D754" s="893"/>
      <c r="E754" s="890" t="e">
        <f t="shared" si="84"/>
        <v>#DIV/0!</v>
      </c>
      <c r="F754" s="893">
        <v>70</v>
      </c>
      <c r="G754" s="893">
        <v>39</v>
      </c>
      <c r="H754" s="890">
        <f t="shared" si="85"/>
        <v>0.55714285714285716</v>
      </c>
      <c r="I754" s="895">
        <f t="shared" si="88"/>
        <v>70</v>
      </c>
      <c r="J754" s="695">
        <f t="shared" si="86"/>
        <v>39</v>
      </c>
      <c r="K754" s="855">
        <f t="shared" si="87"/>
        <v>0.55714285714285716</v>
      </c>
    </row>
    <row r="755" spans="1:11" ht="24.95" customHeight="1">
      <c r="A755" s="856">
        <v>310040</v>
      </c>
      <c r="B755" s="900" t="s">
        <v>3188</v>
      </c>
      <c r="C755" s="893"/>
      <c r="D755" s="893"/>
      <c r="E755" s="890" t="e">
        <f t="shared" si="84"/>
        <v>#DIV/0!</v>
      </c>
      <c r="F755" s="893">
        <v>5</v>
      </c>
      <c r="G755" s="893">
        <v>2</v>
      </c>
      <c r="H755" s="890">
        <f t="shared" si="85"/>
        <v>0.4</v>
      </c>
      <c r="I755" s="895">
        <f t="shared" si="88"/>
        <v>5</v>
      </c>
      <c r="J755" s="695">
        <f t="shared" si="86"/>
        <v>2</v>
      </c>
      <c r="K755" s="855">
        <f t="shared" si="87"/>
        <v>0.4</v>
      </c>
    </row>
    <row r="756" spans="1:11" ht="24.95" customHeight="1">
      <c r="A756" s="856" t="s">
        <v>2429</v>
      </c>
      <c r="B756" s="897" t="s">
        <v>2430</v>
      </c>
      <c r="C756" s="893">
        <v>5</v>
      </c>
      <c r="D756" s="893">
        <v>2</v>
      </c>
      <c r="E756" s="890">
        <f t="shared" si="84"/>
        <v>0.4</v>
      </c>
      <c r="F756" s="893">
        <v>600</v>
      </c>
      <c r="G756" s="893">
        <v>258</v>
      </c>
      <c r="H756" s="890">
        <f t="shared" si="85"/>
        <v>0.43</v>
      </c>
      <c r="I756" s="895">
        <f t="shared" si="88"/>
        <v>605</v>
      </c>
      <c r="J756" s="695">
        <f t="shared" si="86"/>
        <v>260</v>
      </c>
      <c r="K756" s="855">
        <f t="shared" si="87"/>
        <v>0.42975206611570249</v>
      </c>
    </row>
    <row r="757" spans="1:11" ht="24.95" customHeight="1">
      <c r="A757" s="856" t="s">
        <v>2431</v>
      </c>
      <c r="B757" s="898" t="s">
        <v>2432</v>
      </c>
      <c r="C757" s="893">
        <v>3</v>
      </c>
      <c r="D757" s="893"/>
      <c r="E757" s="890">
        <f t="shared" si="84"/>
        <v>0</v>
      </c>
      <c r="F757" s="893">
        <v>10</v>
      </c>
      <c r="G757" s="893">
        <v>1</v>
      </c>
      <c r="H757" s="890">
        <f t="shared" si="85"/>
        <v>0.1</v>
      </c>
      <c r="I757" s="895">
        <f t="shared" si="88"/>
        <v>13</v>
      </c>
      <c r="J757" s="695">
        <f t="shared" si="86"/>
        <v>1</v>
      </c>
      <c r="K757" s="855">
        <f t="shared" si="87"/>
        <v>7.6923076923076927E-2</v>
      </c>
    </row>
    <row r="758" spans="1:11" ht="24.95" customHeight="1">
      <c r="A758" s="901" t="s">
        <v>2433</v>
      </c>
      <c r="B758" s="899" t="s">
        <v>2434</v>
      </c>
      <c r="C758" s="893">
        <v>10</v>
      </c>
      <c r="D758" s="893">
        <v>12</v>
      </c>
      <c r="E758" s="890">
        <f t="shared" si="84"/>
        <v>1.2</v>
      </c>
      <c r="F758" s="893">
        <v>18215</v>
      </c>
      <c r="G758" s="893">
        <v>8439</v>
      </c>
      <c r="H758" s="890">
        <f t="shared" si="85"/>
        <v>0.4632994784518254</v>
      </c>
      <c r="I758" s="895">
        <f t="shared" si="88"/>
        <v>18225</v>
      </c>
      <c r="J758" s="695">
        <f t="shared" si="86"/>
        <v>8451</v>
      </c>
      <c r="K758" s="855">
        <f t="shared" si="87"/>
        <v>0.46370370370370373</v>
      </c>
    </row>
    <row r="759" spans="1:11" ht="24.95" customHeight="1">
      <c r="A759" s="901" t="s">
        <v>3189</v>
      </c>
      <c r="B759" s="899" t="s">
        <v>3190</v>
      </c>
      <c r="C759" s="893"/>
      <c r="D759" s="893"/>
      <c r="E759" s="890" t="e">
        <f t="shared" si="84"/>
        <v>#DIV/0!</v>
      </c>
      <c r="F759" s="893">
        <v>10</v>
      </c>
      <c r="G759" s="893"/>
      <c r="H759" s="890">
        <f t="shared" si="85"/>
        <v>0</v>
      </c>
      <c r="I759" s="895"/>
      <c r="J759" s="695">
        <f t="shared" si="86"/>
        <v>0</v>
      </c>
      <c r="K759" s="855" t="e">
        <f t="shared" si="87"/>
        <v>#DIV/0!</v>
      </c>
    </row>
    <row r="760" spans="1:11" ht="24.95" customHeight="1">
      <c r="A760" s="901" t="s">
        <v>2439</v>
      </c>
      <c r="B760" s="899" t="s">
        <v>3191</v>
      </c>
      <c r="C760" s="893">
        <v>70</v>
      </c>
      <c r="D760" s="893">
        <v>80</v>
      </c>
      <c r="E760" s="890">
        <f t="shared" si="84"/>
        <v>1.1428571428571428</v>
      </c>
      <c r="F760" s="893">
        <v>705</v>
      </c>
      <c r="G760" s="893">
        <v>1471</v>
      </c>
      <c r="H760" s="890">
        <f t="shared" si="85"/>
        <v>2.0865248226950355</v>
      </c>
      <c r="I760" s="895">
        <f t="shared" ref="I760:I772" si="89">+C760+F760</f>
        <v>775</v>
      </c>
      <c r="J760" s="695">
        <f t="shared" si="86"/>
        <v>1551</v>
      </c>
      <c r="K760" s="855">
        <f t="shared" si="87"/>
        <v>2.0012903225806453</v>
      </c>
    </row>
    <row r="761" spans="1:11" ht="24.95" customHeight="1">
      <c r="A761" s="901" t="s">
        <v>3192</v>
      </c>
      <c r="B761" s="899" t="s">
        <v>3193</v>
      </c>
      <c r="C761" s="893">
        <v>2</v>
      </c>
      <c r="D761" s="893"/>
      <c r="E761" s="890">
        <f t="shared" si="84"/>
        <v>0</v>
      </c>
      <c r="F761" s="893">
        <v>5</v>
      </c>
      <c r="G761" s="893"/>
      <c r="H761" s="890">
        <f t="shared" si="85"/>
        <v>0</v>
      </c>
      <c r="I761" s="895">
        <f t="shared" si="89"/>
        <v>7</v>
      </c>
      <c r="J761" s="695">
        <f t="shared" si="86"/>
        <v>0</v>
      </c>
      <c r="K761" s="855">
        <f t="shared" si="87"/>
        <v>0</v>
      </c>
    </row>
    <row r="762" spans="1:11" ht="24.95" customHeight="1">
      <c r="A762" s="856" t="s">
        <v>2449</v>
      </c>
      <c r="B762" s="898" t="s">
        <v>2450</v>
      </c>
      <c r="C762" s="893"/>
      <c r="D762" s="893"/>
      <c r="E762" s="890" t="e">
        <f t="shared" si="84"/>
        <v>#DIV/0!</v>
      </c>
      <c r="F762" s="893">
        <v>10</v>
      </c>
      <c r="G762" s="893">
        <v>1</v>
      </c>
      <c r="H762" s="890">
        <f t="shared" si="85"/>
        <v>0.1</v>
      </c>
      <c r="I762" s="895">
        <f t="shared" si="89"/>
        <v>10</v>
      </c>
      <c r="J762" s="695">
        <f t="shared" si="86"/>
        <v>1</v>
      </c>
      <c r="K762" s="855">
        <f t="shared" si="87"/>
        <v>0.1</v>
      </c>
    </row>
    <row r="763" spans="1:11" ht="24.95" customHeight="1">
      <c r="A763" s="856" t="s">
        <v>2902</v>
      </c>
      <c r="B763" s="898" t="s">
        <v>2454</v>
      </c>
      <c r="C763" s="893"/>
      <c r="D763" s="893"/>
      <c r="E763" s="890" t="e">
        <f t="shared" si="84"/>
        <v>#DIV/0!</v>
      </c>
      <c r="F763" s="893">
        <v>15</v>
      </c>
      <c r="G763" s="893"/>
      <c r="H763" s="890">
        <f t="shared" si="85"/>
        <v>0</v>
      </c>
      <c r="I763" s="895">
        <f t="shared" si="89"/>
        <v>15</v>
      </c>
      <c r="J763" s="695">
        <f t="shared" si="86"/>
        <v>0</v>
      </c>
      <c r="K763" s="855">
        <f t="shared" si="87"/>
        <v>0</v>
      </c>
    </row>
    <row r="764" spans="1:11" ht="24.95" customHeight="1">
      <c r="A764" s="856" t="s">
        <v>3039</v>
      </c>
      <c r="B764" s="897" t="s">
        <v>2456</v>
      </c>
      <c r="C764" s="893">
        <v>6</v>
      </c>
      <c r="D764" s="893">
        <v>15</v>
      </c>
      <c r="E764" s="890">
        <f t="shared" si="84"/>
        <v>2.5</v>
      </c>
      <c r="F764" s="893">
        <v>2175</v>
      </c>
      <c r="G764" s="893">
        <v>672</v>
      </c>
      <c r="H764" s="890">
        <f t="shared" si="85"/>
        <v>0.30896551724137933</v>
      </c>
      <c r="I764" s="895">
        <f t="shared" si="89"/>
        <v>2181</v>
      </c>
      <c r="J764" s="695">
        <f t="shared" si="86"/>
        <v>687</v>
      </c>
      <c r="K764" s="855">
        <f t="shared" si="87"/>
        <v>0.31499312242090782</v>
      </c>
    </row>
    <row r="765" spans="1:11" ht="24.95" customHeight="1">
      <c r="A765" s="856" t="s">
        <v>2459</v>
      </c>
      <c r="B765" s="898" t="s">
        <v>2460</v>
      </c>
      <c r="C765" s="893"/>
      <c r="D765" s="893"/>
      <c r="E765" s="890" t="e">
        <f t="shared" si="84"/>
        <v>#DIV/0!</v>
      </c>
      <c r="F765" s="893">
        <v>1</v>
      </c>
      <c r="G765" s="893"/>
      <c r="H765" s="890">
        <f t="shared" si="85"/>
        <v>0</v>
      </c>
      <c r="I765" s="895">
        <f t="shared" si="89"/>
        <v>1</v>
      </c>
      <c r="J765" s="695">
        <f t="shared" si="86"/>
        <v>0</v>
      </c>
      <c r="K765" s="855">
        <f t="shared" si="87"/>
        <v>0</v>
      </c>
    </row>
    <row r="766" spans="1:11" ht="24.95" customHeight="1">
      <c r="A766" s="856" t="s">
        <v>3084</v>
      </c>
      <c r="B766" s="898" t="s">
        <v>2470</v>
      </c>
      <c r="C766" s="893"/>
      <c r="D766" s="893"/>
      <c r="E766" s="890" t="e">
        <f t="shared" si="84"/>
        <v>#DIV/0!</v>
      </c>
      <c r="F766" s="893">
        <v>10</v>
      </c>
      <c r="G766" s="893">
        <v>11</v>
      </c>
      <c r="H766" s="890">
        <f t="shared" si="85"/>
        <v>1.1000000000000001</v>
      </c>
      <c r="I766" s="895">
        <f t="shared" si="89"/>
        <v>10</v>
      </c>
      <c r="J766" s="695">
        <f t="shared" si="86"/>
        <v>11</v>
      </c>
      <c r="K766" s="855">
        <f t="shared" si="87"/>
        <v>1.1000000000000001</v>
      </c>
    </row>
    <row r="767" spans="1:11" ht="24.95" customHeight="1">
      <c r="A767" s="856" t="s">
        <v>2479</v>
      </c>
      <c r="B767" s="898" t="s">
        <v>2480</v>
      </c>
      <c r="C767" s="893"/>
      <c r="D767" s="893"/>
      <c r="E767" s="890" t="e">
        <f t="shared" si="84"/>
        <v>#DIV/0!</v>
      </c>
      <c r="F767" s="893">
        <v>2</v>
      </c>
      <c r="G767" s="893">
        <v>2</v>
      </c>
      <c r="H767" s="890">
        <f t="shared" si="85"/>
        <v>1</v>
      </c>
      <c r="I767" s="895">
        <f t="shared" si="89"/>
        <v>2</v>
      </c>
      <c r="J767" s="695">
        <f t="shared" si="86"/>
        <v>2</v>
      </c>
      <c r="K767" s="855">
        <f t="shared" si="87"/>
        <v>1</v>
      </c>
    </row>
    <row r="768" spans="1:11" ht="24.95" customHeight="1">
      <c r="A768" s="856" t="s">
        <v>3194</v>
      </c>
      <c r="B768" s="898" t="s">
        <v>2482</v>
      </c>
      <c r="C768" s="893"/>
      <c r="D768" s="893"/>
      <c r="E768" s="890" t="e">
        <f t="shared" si="84"/>
        <v>#DIV/0!</v>
      </c>
      <c r="F768" s="893">
        <v>20</v>
      </c>
      <c r="G768" s="893">
        <v>7</v>
      </c>
      <c r="H768" s="890">
        <f t="shared" si="85"/>
        <v>0.35</v>
      </c>
      <c r="I768" s="895">
        <f t="shared" si="89"/>
        <v>20</v>
      </c>
      <c r="J768" s="695">
        <f t="shared" si="86"/>
        <v>7</v>
      </c>
      <c r="K768" s="855">
        <f t="shared" si="87"/>
        <v>0.35</v>
      </c>
    </row>
    <row r="769" spans="1:11" ht="24.95" customHeight="1">
      <c r="A769" s="856" t="s">
        <v>3195</v>
      </c>
      <c r="B769" s="898" t="s">
        <v>3196</v>
      </c>
      <c r="C769" s="893">
        <v>315</v>
      </c>
      <c r="D769" s="893">
        <v>19</v>
      </c>
      <c r="E769" s="890">
        <f t="shared" si="84"/>
        <v>6.0317460317460318E-2</v>
      </c>
      <c r="F769" s="893">
        <v>775</v>
      </c>
      <c r="G769" s="893">
        <v>45</v>
      </c>
      <c r="H769" s="890">
        <f t="shared" si="85"/>
        <v>5.8064516129032261E-2</v>
      </c>
      <c r="I769" s="895">
        <f t="shared" si="89"/>
        <v>1090</v>
      </c>
      <c r="J769" s="695">
        <f t="shared" si="86"/>
        <v>64</v>
      </c>
      <c r="K769" s="855">
        <f t="shared" si="87"/>
        <v>5.8715596330275233E-2</v>
      </c>
    </row>
    <row r="770" spans="1:11" ht="24.95" customHeight="1">
      <c r="A770" s="856" t="s">
        <v>1933</v>
      </c>
      <c r="B770" s="898" t="s">
        <v>3197</v>
      </c>
      <c r="C770" s="893">
        <v>460</v>
      </c>
      <c r="D770" s="893"/>
      <c r="E770" s="890">
        <f t="shared" si="84"/>
        <v>0</v>
      </c>
      <c r="F770" s="893">
        <v>1360</v>
      </c>
      <c r="G770" s="893"/>
      <c r="H770" s="890">
        <f t="shared" si="85"/>
        <v>0</v>
      </c>
      <c r="I770" s="895">
        <f t="shared" si="89"/>
        <v>1820</v>
      </c>
      <c r="J770" s="695">
        <f t="shared" si="86"/>
        <v>0</v>
      </c>
      <c r="K770" s="855">
        <f t="shared" si="87"/>
        <v>0</v>
      </c>
    </row>
    <row r="771" spans="1:11" ht="24.95" customHeight="1">
      <c r="A771" s="856" t="s">
        <v>3155</v>
      </c>
      <c r="B771" s="898" t="s">
        <v>3198</v>
      </c>
      <c r="C771" s="893">
        <v>10</v>
      </c>
      <c r="D771" s="893"/>
      <c r="E771" s="890">
        <f t="shared" si="84"/>
        <v>0</v>
      </c>
      <c r="F771" s="893">
        <v>25</v>
      </c>
      <c r="G771" s="893">
        <v>3</v>
      </c>
      <c r="H771" s="890">
        <f t="shared" si="85"/>
        <v>0.12</v>
      </c>
      <c r="I771" s="895">
        <f t="shared" si="89"/>
        <v>35</v>
      </c>
      <c r="J771" s="695">
        <f t="shared" si="86"/>
        <v>3</v>
      </c>
      <c r="K771" s="855">
        <f t="shared" si="87"/>
        <v>8.5714285714285715E-2</v>
      </c>
    </row>
    <row r="772" spans="1:11" ht="24.95" customHeight="1">
      <c r="A772" s="856" t="s">
        <v>2949</v>
      </c>
      <c r="B772" s="898" t="s">
        <v>2950</v>
      </c>
      <c r="C772" s="893">
        <v>5</v>
      </c>
      <c r="D772" s="893">
        <v>1</v>
      </c>
      <c r="E772" s="890">
        <f t="shared" si="84"/>
        <v>0.2</v>
      </c>
      <c r="F772" s="893">
        <v>1</v>
      </c>
      <c r="G772" s="893"/>
      <c r="H772" s="890">
        <f t="shared" si="85"/>
        <v>0</v>
      </c>
      <c r="I772" s="895">
        <f t="shared" si="89"/>
        <v>6</v>
      </c>
      <c r="J772" s="695">
        <f t="shared" si="86"/>
        <v>1</v>
      </c>
      <c r="K772" s="855">
        <f t="shared" si="87"/>
        <v>0.16666666666666666</v>
      </c>
    </row>
    <row r="773" spans="1:11" ht="24.95" customHeight="1">
      <c r="A773" s="856" t="s">
        <v>2953</v>
      </c>
      <c r="B773" s="898" t="s">
        <v>2954</v>
      </c>
      <c r="C773" s="893"/>
      <c r="D773" s="893"/>
      <c r="E773" s="890" t="e">
        <f t="shared" si="84"/>
        <v>#DIV/0!</v>
      </c>
      <c r="F773" s="893">
        <v>5</v>
      </c>
      <c r="G773" s="893"/>
      <c r="H773" s="890">
        <f t="shared" si="85"/>
        <v>0</v>
      </c>
      <c r="I773" s="895"/>
      <c r="J773" s="695">
        <f t="shared" si="86"/>
        <v>0</v>
      </c>
      <c r="K773" s="855" t="e">
        <f t="shared" si="87"/>
        <v>#DIV/0!</v>
      </c>
    </row>
    <row r="774" spans="1:11" ht="24.95" customHeight="1">
      <c r="A774" s="856" t="s">
        <v>2955</v>
      </c>
      <c r="B774" s="898" t="s">
        <v>3199</v>
      </c>
      <c r="C774" s="893">
        <v>1100</v>
      </c>
      <c r="D774" s="893">
        <v>544</v>
      </c>
      <c r="E774" s="890">
        <f t="shared" si="84"/>
        <v>0.49454545454545457</v>
      </c>
      <c r="F774" s="893">
        <v>145</v>
      </c>
      <c r="G774" s="893">
        <v>13</v>
      </c>
      <c r="H774" s="890">
        <f t="shared" si="85"/>
        <v>8.9655172413793102E-2</v>
      </c>
      <c r="I774" s="895">
        <f t="shared" ref="I774:I793" si="90">+C774+F774</f>
        <v>1245</v>
      </c>
      <c r="J774" s="695">
        <f t="shared" si="86"/>
        <v>557</v>
      </c>
      <c r="K774" s="855">
        <f t="shared" si="87"/>
        <v>0.44738955823293175</v>
      </c>
    </row>
    <row r="775" spans="1:11" ht="24.95" customHeight="1">
      <c r="A775" s="856" t="s">
        <v>2613</v>
      </c>
      <c r="B775" s="898" t="s">
        <v>3147</v>
      </c>
      <c r="C775" s="893"/>
      <c r="D775" s="893"/>
      <c r="E775" s="890" t="e">
        <f t="shared" si="84"/>
        <v>#DIV/0!</v>
      </c>
      <c r="F775" s="893">
        <v>55</v>
      </c>
      <c r="G775" s="893">
        <v>19</v>
      </c>
      <c r="H775" s="890">
        <f t="shared" si="85"/>
        <v>0.34545454545454546</v>
      </c>
      <c r="I775" s="895">
        <f t="shared" si="90"/>
        <v>55</v>
      </c>
      <c r="J775" s="695">
        <f t="shared" si="86"/>
        <v>19</v>
      </c>
      <c r="K775" s="855">
        <f t="shared" si="87"/>
        <v>0.34545454545454546</v>
      </c>
    </row>
    <row r="776" spans="1:11" ht="24.95" customHeight="1">
      <c r="A776" s="856" t="s">
        <v>2615</v>
      </c>
      <c r="B776" s="898" t="s">
        <v>3200</v>
      </c>
      <c r="C776" s="893"/>
      <c r="D776" s="893"/>
      <c r="E776" s="890" t="e">
        <f t="shared" si="84"/>
        <v>#DIV/0!</v>
      </c>
      <c r="F776" s="893">
        <v>2390</v>
      </c>
      <c r="G776" s="893">
        <v>5966</v>
      </c>
      <c r="H776" s="890">
        <f t="shared" si="85"/>
        <v>2.4962343096234312</v>
      </c>
      <c r="I776" s="895">
        <f t="shared" si="90"/>
        <v>2390</v>
      </c>
      <c r="J776" s="695">
        <f t="shared" si="86"/>
        <v>5966</v>
      </c>
      <c r="K776" s="855">
        <f t="shared" si="87"/>
        <v>2.4962343096234312</v>
      </c>
    </row>
    <row r="777" spans="1:11" ht="24.95" customHeight="1">
      <c r="A777" s="856" t="s">
        <v>2959</v>
      </c>
      <c r="B777" s="898" t="s">
        <v>2960</v>
      </c>
      <c r="C777" s="893"/>
      <c r="D777" s="893"/>
      <c r="E777" s="890" t="e">
        <f t="shared" si="84"/>
        <v>#DIV/0!</v>
      </c>
      <c r="F777" s="893">
        <v>10</v>
      </c>
      <c r="G777" s="893"/>
      <c r="H777" s="890">
        <f t="shared" si="85"/>
        <v>0</v>
      </c>
      <c r="I777" s="895">
        <f t="shared" si="90"/>
        <v>10</v>
      </c>
      <c r="J777" s="695">
        <f t="shared" si="86"/>
        <v>0</v>
      </c>
      <c r="K777" s="855">
        <f t="shared" si="87"/>
        <v>0</v>
      </c>
    </row>
    <row r="778" spans="1:11" ht="24.95" customHeight="1">
      <c r="A778" s="856" t="s">
        <v>3201</v>
      </c>
      <c r="B778" s="897" t="s">
        <v>3202</v>
      </c>
      <c r="C778" s="893"/>
      <c r="D778" s="893"/>
      <c r="E778" s="890" t="e">
        <f t="shared" si="84"/>
        <v>#DIV/0!</v>
      </c>
      <c r="F778" s="893">
        <v>5</v>
      </c>
      <c r="G778" s="893"/>
      <c r="H778" s="890">
        <f t="shared" si="85"/>
        <v>0</v>
      </c>
      <c r="I778" s="895">
        <f t="shared" si="90"/>
        <v>5</v>
      </c>
      <c r="J778" s="695">
        <f t="shared" si="86"/>
        <v>0</v>
      </c>
      <c r="K778" s="855">
        <f t="shared" si="87"/>
        <v>0</v>
      </c>
    </row>
    <row r="779" spans="1:11" ht="24.95" customHeight="1">
      <c r="A779" s="867" t="s">
        <v>2327</v>
      </c>
      <c r="B779" s="897" t="s">
        <v>2328</v>
      </c>
      <c r="C779" s="893">
        <v>1</v>
      </c>
      <c r="D779" s="893"/>
      <c r="E779" s="890">
        <f t="shared" si="84"/>
        <v>0</v>
      </c>
      <c r="F779" s="893">
        <v>105</v>
      </c>
      <c r="G779" s="893">
        <v>44</v>
      </c>
      <c r="H779" s="890">
        <f t="shared" si="85"/>
        <v>0.41904761904761906</v>
      </c>
      <c r="I779" s="895">
        <f t="shared" si="90"/>
        <v>106</v>
      </c>
      <c r="J779" s="695">
        <f t="shared" si="86"/>
        <v>44</v>
      </c>
      <c r="K779" s="855">
        <f t="shared" si="87"/>
        <v>0.41509433962264153</v>
      </c>
    </row>
    <row r="780" spans="1:11" ht="24.95" customHeight="1">
      <c r="A780" s="867" t="s">
        <v>2176</v>
      </c>
      <c r="B780" s="897" t="s">
        <v>2177</v>
      </c>
      <c r="C780" s="893"/>
      <c r="D780" s="893"/>
      <c r="E780" s="890" t="e">
        <f t="shared" si="84"/>
        <v>#DIV/0!</v>
      </c>
      <c r="F780" s="893">
        <v>5</v>
      </c>
      <c r="G780" s="893"/>
      <c r="H780" s="890">
        <f t="shared" si="85"/>
        <v>0</v>
      </c>
      <c r="I780" s="895">
        <f t="shared" si="90"/>
        <v>5</v>
      </c>
      <c r="J780" s="695">
        <f t="shared" si="86"/>
        <v>0</v>
      </c>
      <c r="K780" s="855">
        <f t="shared" si="87"/>
        <v>0</v>
      </c>
    </row>
    <row r="781" spans="1:11" ht="24.95" customHeight="1">
      <c r="A781" s="867" t="s">
        <v>3203</v>
      </c>
      <c r="B781" s="897" t="s">
        <v>3204</v>
      </c>
      <c r="C781" s="893"/>
      <c r="D781" s="893"/>
      <c r="E781" s="890" t="e">
        <f t="shared" si="84"/>
        <v>#DIV/0!</v>
      </c>
      <c r="F781" s="893">
        <v>3</v>
      </c>
      <c r="G781" s="893"/>
      <c r="H781" s="890">
        <f t="shared" si="85"/>
        <v>0</v>
      </c>
      <c r="I781" s="895">
        <f t="shared" si="90"/>
        <v>3</v>
      </c>
      <c r="J781" s="695">
        <f t="shared" si="86"/>
        <v>0</v>
      </c>
      <c r="K781" s="855">
        <f t="shared" si="87"/>
        <v>0</v>
      </c>
    </row>
    <row r="782" spans="1:11" ht="24.95" customHeight="1">
      <c r="A782" s="867" t="s">
        <v>3205</v>
      </c>
      <c r="B782" s="897" t="s">
        <v>3206</v>
      </c>
      <c r="C782" s="893">
        <v>2</v>
      </c>
      <c r="D782" s="893">
        <v>1</v>
      </c>
      <c r="E782" s="890">
        <f t="shared" si="84"/>
        <v>0.5</v>
      </c>
      <c r="F782" s="893">
        <v>50</v>
      </c>
      <c r="G782" s="893">
        <v>1</v>
      </c>
      <c r="H782" s="890">
        <f t="shared" si="85"/>
        <v>0.02</v>
      </c>
      <c r="I782" s="895">
        <f t="shared" si="90"/>
        <v>52</v>
      </c>
      <c r="J782" s="695">
        <f t="shared" si="86"/>
        <v>2</v>
      </c>
      <c r="K782" s="855">
        <f t="shared" si="87"/>
        <v>3.8461538461538464E-2</v>
      </c>
    </row>
    <row r="783" spans="1:11" ht="24.95" customHeight="1">
      <c r="A783" s="867" t="s">
        <v>2620</v>
      </c>
      <c r="B783" s="897" t="s">
        <v>2621</v>
      </c>
      <c r="C783" s="893">
        <v>195</v>
      </c>
      <c r="D783" s="893">
        <v>110</v>
      </c>
      <c r="E783" s="890">
        <f t="shared" si="84"/>
        <v>0.5641025641025641</v>
      </c>
      <c r="F783" s="893">
        <v>3360</v>
      </c>
      <c r="G783" s="893">
        <v>1508</v>
      </c>
      <c r="H783" s="890">
        <f t="shared" si="85"/>
        <v>0.44880952380952382</v>
      </c>
      <c r="I783" s="895">
        <f t="shared" si="90"/>
        <v>3555</v>
      </c>
      <c r="J783" s="695">
        <f t="shared" si="86"/>
        <v>1618</v>
      </c>
      <c r="K783" s="855">
        <f t="shared" si="87"/>
        <v>0.45513361462728552</v>
      </c>
    </row>
    <row r="784" spans="1:11" ht="24.95" customHeight="1">
      <c r="A784" s="856" t="s">
        <v>2622</v>
      </c>
      <c r="B784" s="898" t="s">
        <v>2962</v>
      </c>
      <c r="C784" s="893">
        <v>1</v>
      </c>
      <c r="D784" s="893">
        <v>1</v>
      </c>
      <c r="E784" s="890">
        <f t="shared" si="84"/>
        <v>1</v>
      </c>
      <c r="F784" s="893">
        <v>50</v>
      </c>
      <c r="G784" s="893">
        <v>2</v>
      </c>
      <c r="H784" s="890">
        <f t="shared" si="85"/>
        <v>0.04</v>
      </c>
      <c r="I784" s="895">
        <f t="shared" si="90"/>
        <v>51</v>
      </c>
      <c r="J784" s="695">
        <f t="shared" si="86"/>
        <v>3</v>
      </c>
      <c r="K784" s="855">
        <f t="shared" si="87"/>
        <v>5.8823529411764705E-2</v>
      </c>
    </row>
    <row r="785" spans="1:11" ht="24.95" customHeight="1">
      <c r="A785" s="856" t="s">
        <v>2624</v>
      </c>
      <c r="B785" s="897" t="s">
        <v>2330</v>
      </c>
      <c r="C785" s="893"/>
      <c r="D785" s="893">
        <v>2</v>
      </c>
      <c r="E785" s="890" t="e">
        <f t="shared" si="84"/>
        <v>#DIV/0!</v>
      </c>
      <c r="F785" s="893">
        <v>5240</v>
      </c>
      <c r="G785" s="893">
        <v>2207</v>
      </c>
      <c r="H785" s="890">
        <f t="shared" si="85"/>
        <v>0.42118320610687021</v>
      </c>
      <c r="I785" s="895">
        <f t="shared" si="90"/>
        <v>5240</v>
      </c>
      <c r="J785" s="695">
        <f t="shared" si="86"/>
        <v>2209</v>
      </c>
      <c r="K785" s="855">
        <f t="shared" si="87"/>
        <v>0.42156488549618321</v>
      </c>
    </row>
    <row r="786" spans="1:11" ht="24.95" customHeight="1">
      <c r="A786" s="856" t="s">
        <v>2627</v>
      </c>
      <c r="B786" s="897" t="s">
        <v>2628</v>
      </c>
      <c r="C786" s="893">
        <v>1</v>
      </c>
      <c r="D786" s="893"/>
      <c r="E786" s="890">
        <f t="shared" si="84"/>
        <v>0</v>
      </c>
      <c r="F786" s="893">
        <v>150</v>
      </c>
      <c r="G786" s="893">
        <v>33</v>
      </c>
      <c r="H786" s="890">
        <f t="shared" si="85"/>
        <v>0.22</v>
      </c>
      <c r="I786" s="895">
        <f t="shared" si="90"/>
        <v>151</v>
      </c>
      <c r="J786" s="695">
        <f t="shared" si="86"/>
        <v>33</v>
      </c>
      <c r="K786" s="855">
        <f t="shared" si="87"/>
        <v>0.2185430463576159</v>
      </c>
    </row>
    <row r="787" spans="1:11" ht="24.95" customHeight="1">
      <c r="A787" s="867" t="s">
        <v>2629</v>
      </c>
      <c r="B787" s="897" t="s">
        <v>2630</v>
      </c>
      <c r="C787" s="893">
        <v>25</v>
      </c>
      <c r="D787" s="893">
        <v>14</v>
      </c>
      <c r="E787" s="890">
        <f t="shared" si="84"/>
        <v>0.56000000000000005</v>
      </c>
      <c r="F787" s="893">
        <v>455</v>
      </c>
      <c r="G787" s="893">
        <f>191+246</f>
        <v>437</v>
      </c>
      <c r="H787" s="890">
        <f t="shared" si="85"/>
        <v>0.96043956043956047</v>
      </c>
      <c r="I787" s="895">
        <f t="shared" si="90"/>
        <v>480</v>
      </c>
      <c r="J787" s="695">
        <f t="shared" si="86"/>
        <v>451</v>
      </c>
      <c r="K787" s="855">
        <f t="shared" si="87"/>
        <v>0.93958333333333333</v>
      </c>
    </row>
    <row r="788" spans="1:11" ht="24.95" customHeight="1">
      <c r="A788" s="856" t="s">
        <v>2631</v>
      </c>
      <c r="B788" s="898" t="s">
        <v>2632</v>
      </c>
      <c r="C788" s="893">
        <v>585</v>
      </c>
      <c r="D788" s="893">
        <v>320</v>
      </c>
      <c r="E788" s="890">
        <f t="shared" si="84"/>
        <v>0.54700854700854706</v>
      </c>
      <c r="F788" s="893">
        <v>24150</v>
      </c>
      <c r="G788" s="893">
        <v>11578</v>
      </c>
      <c r="H788" s="890">
        <f t="shared" si="85"/>
        <v>0.47942028985507246</v>
      </c>
      <c r="I788" s="895">
        <f t="shared" si="90"/>
        <v>24735</v>
      </c>
      <c r="J788" s="695">
        <f t="shared" si="86"/>
        <v>11898</v>
      </c>
      <c r="K788" s="855">
        <f t="shared" si="87"/>
        <v>0.48101879927228625</v>
      </c>
    </row>
    <row r="789" spans="1:11" ht="24.95" customHeight="1">
      <c r="A789" s="856" t="s">
        <v>2178</v>
      </c>
      <c r="B789" s="898" t="s">
        <v>2179</v>
      </c>
      <c r="C789" s="893">
        <v>175</v>
      </c>
      <c r="D789" s="893">
        <v>88</v>
      </c>
      <c r="E789" s="890">
        <f t="shared" si="84"/>
        <v>0.50285714285714289</v>
      </c>
      <c r="F789" s="893">
        <v>6035</v>
      </c>
      <c r="G789" s="893">
        <v>2745</v>
      </c>
      <c r="H789" s="890">
        <f t="shared" si="85"/>
        <v>0.45484672742336374</v>
      </c>
      <c r="I789" s="895">
        <f t="shared" si="90"/>
        <v>6210</v>
      </c>
      <c r="J789" s="695">
        <f t="shared" si="86"/>
        <v>2833</v>
      </c>
      <c r="K789" s="855">
        <f t="shared" si="87"/>
        <v>0.45619967793880839</v>
      </c>
    </row>
    <row r="790" spans="1:11" ht="24.95" customHeight="1">
      <c r="A790" s="856" t="s">
        <v>2633</v>
      </c>
      <c r="B790" s="898" t="s">
        <v>2965</v>
      </c>
      <c r="C790" s="893">
        <v>15</v>
      </c>
      <c r="D790" s="893">
        <v>14</v>
      </c>
      <c r="E790" s="890">
        <f t="shared" si="84"/>
        <v>0.93333333333333335</v>
      </c>
      <c r="F790" s="893">
        <v>1470</v>
      </c>
      <c r="G790" s="893">
        <v>712</v>
      </c>
      <c r="H790" s="890">
        <f t="shared" si="85"/>
        <v>0.48435374149659866</v>
      </c>
      <c r="I790" s="895">
        <f t="shared" si="90"/>
        <v>1485</v>
      </c>
      <c r="J790" s="695">
        <f t="shared" si="86"/>
        <v>726</v>
      </c>
      <c r="K790" s="855">
        <f t="shared" si="87"/>
        <v>0.48888888888888887</v>
      </c>
    </row>
    <row r="791" spans="1:11" ht="24.95" customHeight="1">
      <c r="A791" s="856" t="s">
        <v>2637</v>
      </c>
      <c r="B791" s="897" t="s">
        <v>2638</v>
      </c>
      <c r="C791" s="893">
        <v>5</v>
      </c>
      <c r="D791" s="893">
        <v>1</v>
      </c>
      <c r="E791" s="890">
        <f t="shared" si="84"/>
        <v>0.2</v>
      </c>
      <c r="F791" s="893">
        <v>786</v>
      </c>
      <c r="G791" s="893">
        <v>245</v>
      </c>
      <c r="H791" s="890">
        <f t="shared" si="85"/>
        <v>0.31170483460559795</v>
      </c>
      <c r="I791" s="895">
        <f t="shared" si="90"/>
        <v>791</v>
      </c>
      <c r="J791" s="695">
        <f t="shared" si="86"/>
        <v>246</v>
      </c>
      <c r="K791" s="855">
        <f t="shared" si="87"/>
        <v>0.31099873577749682</v>
      </c>
    </row>
    <row r="792" spans="1:11" ht="24.95" customHeight="1">
      <c r="A792" s="867" t="s">
        <v>2639</v>
      </c>
      <c r="B792" s="897" t="s">
        <v>3048</v>
      </c>
      <c r="C792" s="893">
        <v>5</v>
      </c>
      <c r="D792" s="893"/>
      <c r="E792" s="890">
        <f t="shared" si="84"/>
        <v>0</v>
      </c>
      <c r="F792" s="893">
        <v>30</v>
      </c>
      <c r="G792" s="893">
        <v>8</v>
      </c>
      <c r="H792" s="890">
        <f t="shared" si="85"/>
        <v>0.26666666666666666</v>
      </c>
      <c r="I792" s="895">
        <f t="shared" si="90"/>
        <v>35</v>
      </c>
      <c r="J792" s="695">
        <f t="shared" si="86"/>
        <v>8</v>
      </c>
      <c r="K792" s="855">
        <f t="shared" si="87"/>
        <v>0.22857142857142856</v>
      </c>
    </row>
    <row r="793" spans="1:11" ht="24.95" customHeight="1">
      <c r="A793" s="856" t="s">
        <v>2963</v>
      </c>
      <c r="B793" s="898" t="s">
        <v>3207</v>
      </c>
      <c r="C793" s="893"/>
      <c r="D793" s="893"/>
      <c r="E793" s="890" t="e">
        <f t="shared" si="84"/>
        <v>#DIV/0!</v>
      </c>
      <c r="F793" s="893"/>
      <c r="G793" s="893"/>
      <c r="H793" s="890" t="e">
        <f t="shared" si="85"/>
        <v>#DIV/0!</v>
      </c>
      <c r="I793" s="895">
        <f t="shared" si="90"/>
        <v>0</v>
      </c>
      <c r="J793" s="695">
        <f t="shared" si="86"/>
        <v>0</v>
      </c>
      <c r="K793" s="855" t="e">
        <f t="shared" si="87"/>
        <v>#DIV/0!</v>
      </c>
    </row>
    <row r="794" spans="1:11" ht="24.95" customHeight="1">
      <c r="A794" s="856" t="s">
        <v>2971</v>
      </c>
      <c r="B794" s="898" t="s">
        <v>3207</v>
      </c>
      <c r="C794" s="893"/>
      <c r="D794" s="893"/>
      <c r="E794" s="890" t="e">
        <f t="shared" si="84"/>
        <v>#DIV/0!</v>
      </c>
      <c r="F794" s="893">
        <v>195</v>
      </c>
      <c r="G794" s="893">
        <v>4</v>
      </c>
      <c r="H794" s="890">
        <f t="shared" si="85"/>
        <v>2.0512820512820513E-2</v>
      </c>
      <c r="I794" s="895"/>
      <c r="J794" s="695">
        <f t="shared" si="86"/>
        <v>4</v>
      </c>
      <c r="K794" s="855" t="e">
        <f t="shared" si="87"/>
        <v>#DIV/0!</v>
      </c>
    </row>
    <row r="795" spans="1:11" ht="24.95" customHeight="1">
      <c r="A795" s="867" t="s">
        <v>3049</v>
      </c>
      <c r="B795" s="897" t="s">
        <v>3050</v>
      </c>
      <c r="C795" s="893"/>
      <c r="D795" s="893"/>
      <c r="E795" s="890" t="e">
        <f t="shared" si="84"/>
        <v>#DIV/0!</v>
      </c>
      <c r="F795" s="893">
        <v>5</v>
      </c>
      <c r="G795" s="893"/>
      <c r="H795" s="890">
        <f t="shared" si="85"/>
        <v>0</v>
      </c>
      <c r="I795" s="895">
        <f>+C795+F795</f>
        <v>5</v>
      </c>
      <c r="J795" s="695">
        <f t="shared" si="86"/>
        <v>0</v>
      </c>
      <c r="K795" s="855">
        <f t="shared" si="87"/>
        <v>0</v>
      </c>
    </row>
    <row r="796" spans="1:11" ht="24.95" customHeight="1">
      <c r="A796" s="867" t="s">
        <v>2645</v>
      </c>
      <c r="B796" s="897" t="s">
        <v>2646</v>
      </c>
      <c r="C796" s="893">
        <v>25</v>
      </c>
      <c r="D796" s="893">
        <v>3</v>
      </c>
      <c r="E796" s="890">
        <f t="shared" si="84"/>
        <v>0.12</v>
      </c>
      <c r="F796" s="893">
        <v>8480</v>
      </c>
      <c r="G796" s="893">
        <v>2046</v>
      </c>
      <c r="H796" s="890">
        <f t="shared" si="85"/>
        <v>0.24127358490566037</v>
      </c>
      <c r="I796" s="895">
        <f>+C796+F796</f>
        <v>8505</v>
      </c>
      <c r="J796" s="695">
        <f t="shared" si="86"/>
        <v>2049</v>
      </c>
      <c r="K796" s="855">
        <f t="shared" si="87"/>
        <v>0.24091710758377424</v>
      </c>
    </row>
    <row r="797" spans="1:11" ht="24.95" customHeight="1">
      <c r="A797" s="867" t="s">
        <v>2649</v>
      </c>
      <c r="B797" s="897" t="s">
        <v>3208</v>
      </c>
      <c r="C797" s="893"/>
      <c r="D797" s="893"/>
      <c r="E797" s="890" t="e">
        <f t="shared" si="84"/>
        <v>#DIV/0!</v>
      </c>
      <c r="F797" s="893">
        <v>50</v>
      </c>
      <c r="G797" s="893">
        <v>5</v>
      </c>
      <c r="H797" s="890">
        <f t="shared" si="85"/>
        <v>0.1</v>
      </c>
      <c r="I797" s="895">
        <f>+C797+F797</f>
        <v>50</v>
      </c>
      <c r="J797" s="695">
        <f t="shared" si="86"/>
        <v>5</v>
      </c>
      <c r="K797" s="855">
        <f t="shared" si="87"/>
        <v>0.1</v>
      </c>
    </row>
    <row r="798" spans="1:11" ht="24.95" customHeight="1">
      <c r="A798" s="856" t="s">
        <v>2667</v>
      </c>
      <c r="B798" s="857" t="s">
        <v>3151</v>
      </c>
      <c r="C798" s="893"/>
      <c r="D798" s="893"/>
      <c r="E798" s="890" t="e">
        <f t="shared" si="84"/>
        <v>#DIV/0!</v>
      </c>
      <c r="F798" s="893">
        <v>10</v>
      </c>
      <c r="G798" s="893"/>
      <c r="H798" s="890">
        <f t="shared" si="85"/>
        <v>0</v>
      </c>
      <c r="I798" s="895">
        <f>+C798+F798</f>
        <v>10</v>
      </c>
      <c r="J798" s="695">
        <f t="shared" si="86"/>
        <v>0</v>
      </c>
      <c r="K798" s="855">
        <f t="shared" si="87"/>
        <v>0</v>
      </c>
    </row>
    <row r="799" spans="1:11" ht="24.95" customHeight="1">
      <c r="A799" s="867"/>
      <c r="B799" s="902" t="s">
        <v>2</v>
      </c>
      <c r="C799" s="893">
        <f t="shared" ref="C799:G799" si="91">SUM(C735:C796)</f>
        <v>4472</v>
      </c>
      <c r="D799" s="893">
        <f t="shared" si="91"/>
        <v>1712</v>
      </c>
      <c r="E799" s="890">
        <f t="shared" si="84"/>
        <v>0.38282647584973167</v>
      </c>
      <c r="F799" s="893">
        <f t="shared" si="91"/>
        <v>79511</v>
      </c>
      <c r="G799" s="893">
        <f t="shared" si="91"/>
        <v>39559</v>
      </c>
      <c r="H799" s="890">
        <f t="shared" si="85"/>
        <v>0.49752864383544415</v>
      </c>
      <c r="I799" s="893">
        <f>SUM(I735:I798)</f>
        <v>83810</v>
      </c>
      <c r="J799" s="695">
        <f t="shared" si="86"/>
        <v>41271</v>
      </c>
      <c r="K799" s="855">
        <f t="shared" si="87"/>
        <v>0.4924352702541463</v>
      </c>
    </row>
    <row r="800" spans="1:11" ht="24.95" customHeight="1">
      <c r="A800" s="873"/>
      <c r="B800" s="874" t="s">
        <v>3102</v>
      </c>
      <c r="C800" s="2193"/>
      <c r="D800" s="2193"/>
      <c r="E800" s="2193"/>
      <c r="F800" s="2193"/>
      <c r="G800" s="2193"/>
      <c r="H800" s="2193"/>
      <c r="I800" s="2193"/>
      <c r="J800" s="149"/>
      <c r="K800" s="855"/>
    </row>
    <row r="801" spans="1:11" ht="24.95" customHeight="1">
      <c r="A801" s="856" t="s">
        <v>3166</v>
      </c>
      <c r="B801" s="857" t="s">
        <v>3209</v>
      </c>
      <c r="C801" s="893"/>
      <c r="D801" s="893"/>
      <c r="E801" s="903"/>
      <c r="F801" s="893">
        <v>0</v>
      </c>
      <c r="G801" s="893"/>
      <c r="H801" s="903" t="e">
        <f>+G801/F801</f>
        <v>#DIV/0!</v>
      </c>
      <c r="I801" s="904">
        <f t="shared" ref="I801:I825" si="92">+C801+F801</f>
        <v>0</v>
      </c>
      <c r="J801" s="695">
        <f>+G801</f>
        <v>0</v>
      </c>
      <c r="K801" s="855" t="e">
        <f>+J801/I801</f>
        <v>#DIV/0!</v>
      </c>
    </row>
    <row r="802" spans="1:11" ht="24.95" customHeight="1">
      <c r="A802" s="856" t="s">
        <v>3013</v>
      </c>
      <c r="B802" s="857" t="s">
        <v>3176</v>
      </c>
      <c r="C802" s="893"/>
      <c r="D802" s="893"/>
      <c r="E802" s="903"/>
      <c r="F802" s="893">
        <v>10</v>
      </c>
      <c r="G802" s="893">
        <v>3</v>
      </c>
      <c r="H802" s="903">
        <f t="shared" ref="H802:H828" si="93">+G802/F802</f>
        <v>0.3</v>
      </c>
      <c r="I802" s="904">
        <f t="shared" si="92"/>
        <v>10</v>
      </c>
      <c r="J802" s="695">
        <f t="shared" ref="J802:J825" si="94">+G802</f>
        <v>3</v>
      </c>
      <c r="K802" s="855">
        <f t="shared" ref="K802:K828" si="95">+J802/I802</f>
        <v>0.3</v>
      </c>
    </row>
    <row r="803" spans="1:11" ht="24.95" customHeight="1">
      <c r="A803" s="856">
        <v>130207</v>
      </c>
      <c r="B803" s="899" t="s">
        <v>2390</v>
      </c>
      <c r="C803" s="893"/>
      <c r="D803" s="893"/>
      <c r="E803" s="903"/>
      <c r="F803" s="893">
        <v>1</v>
      </c>
      <c r="G803" s="893"/>
      <c r="H803" s="903">
        <f t="shared" si="93"/>
        <v>0</v>
      </c>
      <c r="I803" s="895">
        <f t="shared" si="92"/>
        <v>1</v>
      </c>
      <c r="J803" s="695">
        <f t="shared" si="94"/>
        <v>0</v>
      </c>
      <c r="K803" s="855">
        <f t="shared" si="95"/>
        <v>0</v>
      </c>
    </row>
    <row r="804" spans="1:11" ht="24.95" customHeight="1">
      <c r="A804" s="856" t="s">
        <v>3179</v>
      </c>
      <c r="B804" s="857" t="s">
        <v>3180</v>
      </c>
      <c r="C804" s="893"/>
      <c r="D804" s="893"/>
      <c r="E804" s="903"/>
      <c r="F804" s="893">
        <v>3</v>
      </c>
      <c r="G804" s="893">
        <v>2</v>
      </c>
      <c r="H804" s="903">
        <f t="shared" si="93"/>
        <v>0.66666666666666663</v>
      </c>
      <c r="I804" s="904">
        <f t="shared" si="92"/>
        <v>3</v>
      </c>
      <c r="J804" s="695">
        <f t="shared" si="94"/>
        <v>2</v>
      </c>
      <c r="K804" s="855">
        <f t="shared" si="95"/>
        <v>0.66666666666666663</v>
      </c>
    </row>
    <row r="805" spans="1:11" ht="24.95" customHeight="1">
      <c r="A805" s="856" t="s">
        <v>3181</v>
      </c>
      <c r="B805" s="899" t="s">
        <v>3182</v>
      </c>
      <c r="C805" s="893"/>
      <c r="D805" s="893"/>
      <c r="E805" s="903"/>
      <c r="F805" s="893">
        <v>10</v>
      </c>
      <c r="G805" s="893">
        <v>7</v>
      </c>
      <c r="H805" s="903">
        <f t="shared" si="93"/>
        <v>0.7</v>
      </c>
      <c r="I805" s="895">
        <f t="shared" si="92"/>
        <v>10</v>
      </c>
      <c r="J805" s="695">
        <f t="shared" si="94"/>
        <v>7</v>
      </c>
      <c r="K805" s="855">
        <f t="shared" si="95"/>
        <v>0.7</v>
      </c>
    </row>
    <row r="806" spans="1:11" ht="24.95" customHeight="1">
      <c r="A806" s="856" t="s">
        <v>3115</v>
      </c>
      <c r="B806" s="857" t="s">
        <v>3053</v>
      </c>
      <c r="C806" s="893"/>
      <c r="D806" s="893"/>
      <c r="E806" s="903"/>
      <c r="F806" s="893">
        <v>0</v>
      </c>
      <c r="G806" s="893"/>
      <c r="H806" s="903" t="e">
        <f t="shared" si="93"/>
        <v>#DIV/0!</v>
      </c>
      <c r="I806" s="904">
        <f t="shared" si="92"/>
        <v>0</v>
      </c>
      <c r="J806" s="695">
        <f t="shared" si="94"/>
        <v>0</v>
      </c>
      <c r="K806" s="855" t="e">
        <f t="shared" si="95"/>
        <v>#DIV/0!</v>
      </c>
    </row>
    <row r="807" spans="1:11" ht="24.95" customHeight="1">
      <c r="A807" s="856" t="s">
        <v>2401</v>
      </c>
      <c r="B807" s="863" t="s">
        <v>2402</v>
      </c>
      <c r="C807" s="893"/>
      <c r="D807" s="893"/>
      <c r="E807" s="903"/>
      <c r="F807" s="893">
        <v>5</v>
      </c>
      <c r="G807" s="893">
        <v>16</v>
      </c>
      <c r="H807" s="903">
        <f t="shared" si="93"/>
        <v>3.2</v>
      </c>
      <c r="I807" s="904">
        <f t="shared" si="92"/>
        <v>5</v>
      </c>
      <c r="J807" s="695">
        <f t="shared" si="94"/>
        <v>16</v>
      </c>
      <c r="K807" s="855">
        <f t="shared" si="95"/>
        <v>3.2</v>
      </c>
    </row>
    <row r="808" spans="1:11" ht="24.95" customHeight="1">
      <c r="A808" s="856">
        <v>260076</v>
      </c>
      <c r="B808" s="900" t="s">
        <v>3185</v>
      </c>
      <c r="C808" s="893"/>
      <c r="D808" s="893"/>
      <c r="E808" s="903"/>
      <c r="F808" s="893">
        <v>2</v>
      </c>
      <c r="G808" s="893"/>
      <c r="H808" s="903">
        <f t="shared" si="93"/>
        <v>0</v>
      </c>
      <c r="I808" s="895">
        <f t="shared" si="92"/>
        <v>2</v>
      </c>
      <c r="J808" s="695">
        <f t="shared" si="94"/>
        <v>0</v>
      </c>
      <c r="K808" s="855">
        <f t="shared" si="95"/>
        <v>0</v>
      </c>
    </row>
    <row r="809" spans="1:11" ht="24.95" customHeight="1">
      <c r="A809" s="856">
        <v>260100</v>
      </c>
      <c r="B809" s="900" t="s">
        <v>3187</v>
      </c>
      <c r="C809" s="893"/>
      <c r="D809" s="893"/>
      <c r="E809" s="903"/>
      <c r="F809" s="893">
        <v>5</v>
      </c>
      <c r="G809" s="893"/>
      <c r="H809" s="903">
        <f t="shared" si="93"/>
        <v>0</v>
      </c>
      <c r="I809" s="895">
        <f t="shared" si="92"/>
        <v>5</v>
      </c>
      <c r="J809" s="695">
        <f t="shared" si="94"/>
        <v>0</v>
      </c>
      <c r="K809" s="855">
        <f t="shared" si="95"/>
        <v>0</v>
      </c>
    </row>
    <row r="810" spans="1:11" ht="24.95" customHeight="1">
      <c r="A810" s="856" t="s">
        <v>2429</v>
      </c>
      <c r="B810" s="863" t="s">
        <v>2430</v>
      </c>
      <c r="C810" s="893"/>
      <c r="D810" s="893"/>
      <c r="E810" s="903"/>
      <c r="F810" s="893">
        <v>1</v>
      </c>
      <c r="G810" s="893"/>
      <c r="H810" s="903">
        <f t="shared" si="93"/>
        <v>0</v>
      </c>
      <c r="I810" s="904">
        <f t="shared" si="92"/>
        <v>1</v>
      </c>
      <c r="J810" s="695">
        <f t="shared" si="94"/>
        <v>0</v>
      </c>
      <c r="K810" s="855">
        <f t="shared" si="95"/>
        <v>0</v>
      </c>
    </row>
    <row r="811" spans="1:11" ht="24.95" customHeight="1">
      <c r="A811" s="856" t="s">
        <v>2431</v>
      </c>
      <c r="B811" s="857" t="s">
        <v>2432</v>
      </c>
      <c r="C811" s="893"/>
      <c r="D811" s="893"/>
      <c r="E811" s="903"/>
      <c r="F811" s="893">
        <v>5</v>
      </c>
      <c r="G811" s="893">
        <v>1</v>
      </c>
      <c r="H811" s="903">
        <f t="shared" si="93"/>
        <v>0.2</v>
      </c>
      <c r="I811" s="904">
        <f t="shared" si="92"/>
        <v>5</v>
      </c>
      <c r="J811" s="695">
        <f t="shared" si="94"/>
        <v>1</v>
      </c>
      <c r="K811" s="855">
        <f t="shared" si="95"/>
        <v>0.2</v>
      </c>
    </row>
    <row r="812" spans="1:11" ht="24.95" customHeight="1">
      <c r="A812" s="856">
        <v>600349</v>
      </c>
      <c r="B812" s="857" t="s">
        <v>2434</v>
      </c>
      <c r="C812" s="893"/>
      <c r="D812" s="893"/>
      <c r="E812" s="903"/>
      <c r="F812" s="893">
        <v>2</v>
      </c>
      <c r="G812" s="893"/>
      <c r="H812" s="903">
        <f t="shared" si="93"/>
        <v>0</v>
      </c>
      <c r="I812" s="904">
        <f t="shared" si="92"/>
        <v>2</v>
      </c>
      <c r="J812" s="695">
        <f t="shared" si="94"/>
        <v>0</v>
      </c>
      <c r="K812" s="855">
        <f t="shared" si="95"/>
        <v>0</v>
      </c>
    </row>
    <row r="813" spans="1:11" ht="24.95" customHeight="1">
      <c r="A813" s="856" t="s">
        <v>2439</v>
      </c>
      <c r="B813" s="857" t="s">
        <v>3210</v>
      </c>
      <c r="C813" s="893"/>
      <c r="D813" s="893"/>
      <c r="E813" s="903"/>
      <c r="F813" s="893">
        <v>15</v>
      </c>
      <c r="G813" s="893">
        <v>480</v>
      </c>
      <c r="H813" s="903">
        <f t="shared" si="93"/>
        <v>32</v>
      </c>
      <c r="I813" s="904">
        <f t="shared" si="92"/>
        <v>15</v>
      </c>
      <c r="J813" s="695">
        <f t="shared" si="94"/>
        <v>480</v>
      </c>
      <c r="K813" s="855">
        <f t="shared" si="95"/>
        <v>32</v>
      </c>
    </row>
    <row r="814" spans="1:11" ht="24.95" customHeight="1">
      <c r="A814" s="856" t="s">
        <v>3039</v>
      </c>
      <c r="B814" s="897" t="s">
        <v>2456</v>
      </c>
      <c r="C814" s="893"/>
      <c r="D814" s="893"/>
      <c r="E814" s="903"/>
      <c r="F814" s="893">
        <v>1</v>
      </c>
      <c r="G814" s="893"/>
      <c r="H814" s="903">
        <f t="shared" si="93"/>
        <v>0</v>
      </c>
      <c r="I814" s="895">
        <f t="shared" si="92"/>
        <v>1</v>
      </c>
      <c r="J814" s="695">
        <f t="shared" si="94"/>
        <v>0</v>
      </c>
      <c r="K814" s="855">
        <f t="shared" si="95"/>
        <v>0</v>
      </c>
    </row>
    <row r="815" spans="1:11" ht="24.95" customHeight="1">
      <c r="A815" s="856" t="s">
        <v>2955</v>
      </c>
      <c r="B815" s="857" t="s">
        <v>2956</v>
      </c>
      <c r="C815" s="893"/>
      <c r="D815" s="893"/>
      <c r="E815" s="903"/>
      <c r="F815" s="893">
        <v>10</v>
      </c>
      <c r="G815" s="893"/>
      <c r="H815" s="903">
        <f t="shared" si="93"/>
        <v>0</v>
      </c>
      <c r="I815" s="904">
        <f t="shared" si="92"/>
        <v>10</v>
      </c>
      <c r="J815" s="695">
        <f t="shared" si="94"/>
        <v>0</v>
      </c>
      <c r="K815" s="855">
        <f t="shared" si="95"/>
        <v>0</v>
      </c>
    </row>
    <row r="816" spans="1:11" ht="24.95" customHeight="1">
      <c r="A816" s="856" t="s">
        <v>2959</v>
      </c>
      <c r="B816" s="898" t="s">
        <v>2960</v>
      </c>
      <c r="C816" s="893"/>
      <c r="D816" s="893"/>
      <c r="E816" s="903"/>
      <c r="F816" s="893">
        <v>1</v>
      </c>
      <c r="G816" s="893"/>
      <c r="H816" s="903">
        <f t="shared" si="93"/>
        <v>0</v>
      </c>
      <c r="I816" s="895">
        <f t="shared" si="92"/>
        <v>1</v>
      </c>
      <c r="J816" s="695">
        <f t="shared" si="94"/>
        <v>0</v>
      </c>
      <c r="K816" s="855">
        <f t="shared" si="95"/>
        <v>0</v>
      </c>
    </row>
    <row r="817" spans="1:11" ht="24.95" customHeight="1">
      <c r="A817" s="867" t="s">
        <v>2620</v>
      </c>
      <c r="B817" s="866" t="s">
        <v>2621</v>
      </c>
      <c r="C817" s="893"/>
      <c r="D817" s="893"/>
      <c r="E817" s="903"/>
      <c r="F817" s="893">
        <v>75</v>
      </c>
      <c r="G817" s="893">
        <v>62</v>
      </c>
      <c r="H817" s="903">
        <f t="shared" si="93"/>
        <v>0.82666666666666666</v>
      </c>
      <c r="I817" s="904">
        <f t="shared" si="92"/>
        <v>75</v>
      </c>
      <c r="J817" s="695">
        <f t="shared" si="94"/>
        <v>62</v>
      </c>
      <c r="K817" s="855">
        <f t="shared" si="95"/>
        <v>0.82666666666666666</v>
      </c>
    </row>
    <row r="818" spans="1:11" ht="24.95" customHeight="1">
      <c r="A818" s="867" t="s">
        <v>2624</v>
      </c>
      <c r="B818" s="866" t="s">
        <v>2330</v>
      </c>
      <c r="C818" s="893"/>
      <c r="D818" s="893"/>
      <c r="E818" s="903"/>
      <c r="F818" s="893">
        <v>22</v>
      </c>
      <c r="G818" s="893"/>
      <c r="H818" s="903">
        <f t="shared" si="93"/>
        <v>0</v>
      </c>
      <c r="I818" s="904">
        <f t="shared" si="92"/>
        <v>22</v>
      </c>
      <c r="J818" s="695">
        <f t="shared" si="94"/>
        <v>0</v>
      </c>
      <c r="K818" s="855">
        <f t="shared" si="95"/>
        <v>0</v>
      </c>
    </row>
    <row r="819" spans="1:11" ht="24.95" customHeight="1">
      <c r="A819" s="867" t="s">
        <v>2629</v>
      </c>
      <c r="B819" s="866" t="s">
        <v>3211</v>
      </c>
      <c r="C819" s="893"/>
      <c r="D819" s="893"/>
      <c r="E819" s="903"/>
      <c r="F819" s="893">
        <v>5</v>
      </c>
      <c r="G819" s="893"/>
      <c r="H819" s="903">
        <f t="shared" si="93"/>
        <v>0</v>
      </c>
      <c r="I819" s="904">
        <f t="shared" si="92"/>
        <v>5</v>
      </c>
      <c r="J819" s="695">
        <f t="shared" si="94"/>
        <v>0</v>
      </c>
      <c r="K819" s="855">
        <f t="shared" si="95"/>
        <v>0</v>
      </c>
    </row>
    <row r="820" spans="1:11" ht="24.95" customHeight="1">
      <c r="A820" s="856" t="s">
        <v>2631</v>
      </c>
      <c r="B820" s="857" t="s">
        <v>2632</v>
      </c>
      <c r="C820" s="893"/>
      <c r="D820" s="893"/>
      <c r="E820" s="903"/>
      <c r="F820" s="893">
        <v>790</v>
      </c>
      <c r="G820" s="893">
        <v>569</v>
      </c>
      <c r="H820" s="903">
        <f t="shared" si="93"/>
        <v>0.72025316455696198</v>
      </c>
      <c r="I820" s="904">
        <f t="shared" si="92"/>
        <v>790</v>
      </c>
      <c r="J820" s="695">
        <f t="shared" si="94"/>
        <v>569</v>
      </c>
      <c r="K820" s="855">
        <f t="shared" si="95"/>
        <v>0.72025316455696198</v>
      </c>
    </row>
    <row r="821" spans="1:11" ht="24.95" customHeight="1">
      <c r="A821" s="856" t="s">
        <v>2178</v>
      </c>
      <c r="B821" s="857" t="s">
        <v>2179</v>
      </c>
      <c r="C821" s="893"/>
      <c r="D821" s="893"/>
      <c r="E821" s="903"/>
      <c r="F821" s="893">
        <v>931</v>
      </c>
      <c r="G821" s="893">
        <v>673</v>
      </c>
      <c r="H821" s="903">
        <f t="shared" si="93"/>
        <v>0.72287862513426426</v>
      </c>
      <c r="I821" s="904">
        <f t="shared" si="92"/>
        <v>931</v>
      </c>
      <c r="J821" s="695">
        <f t="shared" si="94"/>
        <v>673</v>
      </c>
      <c r="K821" s="855">
        <f t="shared" si="95"/>
        <v>0.72287862513426426</v>
      </c>
    </row>
    <row r="822" spans="1:11" ht="24.95" customHeight="1">
      <c r="A822" s="856" t="s">
        <v>2633</v>
      </c>
      <c r="B822" s="857" t="s">
        <v>2965</v>
      </c>
      <c r="C822" s="893"/>
      <c r="D822" s="893"/>
      <c r="E822" s="903"/>
      <c r="F822" s="893">
        <v>35</v>
      </c>
      <c r="G822" s="893"/>
      <c r="H822" s="903">
        <f t="shared" si="93"/>
        <v>0</v>
      </c>
      <c r="I822" s="904">
        <f t="shared" si="92"/>
        <v>35</v>
      </c>
      <c r="J822" s="695">
        <f t="shared" si="94"/>
        <v>0</v>
      </c>
      <c r="K822" s="855">
        <f t="shared" si="95"/>
        <v>0</v>
      </c>
    </row>
    <row r="823" spans="1:11" ht="24.95" customHeight="1">
      <c r="A823" s="856" t="s">
        <v>2637</v>
      </c>
      <c r="B823" s="897" t="s">
        <v>2638</v>
      </c>
      <c r="C823" s="893"/>
      <c r="D823" s="893"/>
      <c r="E823" s="903"/>
      <c r="F823" s="893">
        <v>3</v>
      </c>
      <c r="G823" s="893"/>
      <c r="H823" s="903">
        <f t="shared" si="93"/>
        <v>0</v>
      </c>
      <c r="I823" s="895">
        <f t="shared" si="92"/>
        <v>3</v>
      </c>
      <c r="J823" s="695">
        <f t="shared" si="94"/>
        <v>0</v>
      </c>
      <c r="K823" s="855">
        <f t="shared" si="95"/>
        <v>0</v>
      </c>
    </row>
    <row r="824" spans="1:11" ht="24.95" customHeight="1">
      <c r="A824" s="867" t="s">
        <v>2645</v>
      </c>
      <c r="B824" s="870" t="s">
        <v>2646</v>
      </c>
      <c r="C824" s="893"/>
      <c r="D824" s="893"/>
      <c r="E824" s="903"/>
      <c r="F824" s="893">
        <v>30</v>
      </c>
      <c r="G824" s="893">
        <v>10</v>
      </c>
      <c r="H824" s="903">
        <f t="shared" si="93"/>
        <v>0.33333333333333331</v>
      </c>
      <c r="I824" s="904">
        <f t="shared" si="92"/>
        <v>30</v>
      </c>
      <c r="J824" s="695">
        <f t="shared" si="94"/>
        <v>10</v>
      </c>
      <c r="K824" s="855">
        <f t="shared" si="95"/>
        <v>0.33333333333333331</v>
      </c>
    </row>
    <row r="825" spans="1:11" ht="24.95" customHeight="1">
      <c r="A825" s="905" t="s">
        <v>3212</v>
      </c>
      <c r="B825" s="906" t="s">
        <v>3213</v>
      </c>
      <c r="C825" s="893"/>
      <c r="D825" s="893"/>
      <c r="E825" s="903"/>
      <c r="F825" s="893">
        <v>0</v>
      </c>
      <c r="G825" s="893"/>
      <c r="H825" s="903" t="e">
        <f t="shared" si="93"/>
        <v>#DIV/0!</v>
      </c>
      <c r="I825" s="904">
        <f t="shared" si="92"/>
        <v>0</v>
      </c>
      <c r="J825" s="695">
        <f t="shared" si="94"/>
        <v>0</v>
      </c>
      <c r="K825" s="855" t="e">
        <f t="shared" si="95"/>
        <v>#DIV/0!</v>
      </c>
    </row>
    <row r="826" spans="1:11" ht="24.95" customHeight="1">
      <c r="A826" s="853"/>
      <c r="B826" s="876" t="s">
        <v>3157</v>
      </c>
      <c r="C826" s="894">
        <f t="shared" ref="C826:J826" si="96">SUM(C801:C825)</f>
        <v>0</v>
      </c>
      <c r="D826" s="894">
        <f t="shared" si="96"/>
        <v>0</v>
      </c>
      <c r="E826" s="907"/>
      <c r="F826" s="894">
        <f t="shared" si="96"/>
        <v>1962</v>
      </c>
      <c r="G826" s="894">
        <f t="shared" si="96"/>
        <v>1823</v>
      </c>
      <c r="H826" s="903">
        <f t="shared" si="93"/>
        <v>0.9291539245667686</v>
      </c>
      <c r="I826" s="894">
        <f t="shared" si="96"/>
        <v>1962</v>
      </c>
      <c r="J826" s="894">
        <f t="shared" si="96"/>
        <v>1823</v>
      </c>
      <c r="K826" s="855">
        <f t="shared" si="95"/>
        <v>0.9291539245667686</v>
      </c>
    </row>
    <row r="827" spans="1:11" ht="24.95" customHeight="1">
      <c r="A827" s="853"/>
      <c r="B827" s="879" t="s">
        <v>3158</v>
      </c>
      <c r="C827" s="894">
        <f t="shared" ref="C827:J827" si="97">+C799</f>
        <v>4472</v>
      </c>
      <c r="D827" s="894">
        <f t="shared" si="97"/>
        <v>1712</v>
      </c>
      <c r="E827" s="907"/>
      <c r="F827" s="894">
        <f t="shared" si="97"/>
        <v>79511</v>
      </c>
      <c r="G827" s="894">
        <f t="shared" si="97"/>
        <v>39559</v>
      </c>
      <c r="H827" s="903">
        <f t="shared" si="93"/>
        <v>0.49752864383544415</v>
      </c>
      <c r="I827" s="894">
        <f t="shared" si="97"/>
        <v>83810</v>
      </c>
      <c r="J827" s="894">
        <f t="shared" si="97"/>
        <v>41271</v>
      </c>
      <c r="K827" s="855">
        <f t="shared" si="95"/>
        <v>0.4924352702541463</v>
      </c>
    </row>
    <row r="828" spans="1:11" ht="24.95" customHeight="1">
      <c r="A828" s="853"/>
      <c r="B828" s="879" t="s">
        <v>2671</v>
      </c>
      <c r="C828" s="908">
        <f t="shared" ref="C828:F828" si="98">+C826+C827</f>
        <v>4472</v>
      </c>
      <c r="D828" s="908"/>
      <c r="E828" s="909"/>
      <c r="F828" s="908">
        <f t="shared" si="98"/>
        <v>81473</v>
      </c>
      <c r="G828" s="908"/>
      <c r="H828" s="903">
        <f t="shared" si="93"/>
        <v>0</v>
      </c>
      <c r="I828" s="908">
        <f>+I826+I827</f>
        <v>85772</v>
      </c>
      <c r="J828" s="908">
        <f>+J826+J827</f>
        <v>43094</v>
      </c>
      <c r="K828" s="855">
        <f t="shared" si="95"/>
        <v>0.50242503381056758</v>
      </c>
    </row>
    <row r="829" spans="1:11" s="711" customFormat="1" ht="24.95" customHeight="1">
      <c r="A829" s="2194" t="s">
        <v>149</v>
      </c>
      <c r="B829" s="2194"/>
      <c r="C829" s="2194"/>
      <c r="D829" s="2194"/>
      <c r="E829" s="2194"/>
      <c r="F829" s="2194"/>
      <c r="G829" s="2194"/>
      <c r="H829" s="2194"/>
      <c r="I829" s="2194"/>
      <c r="K829" s="910"/>
    </row>
    <row r="830" spans="1:11" s="711" customFormat="1" ht="24.95" customHeight="1">
      <c r="A830" s="2195"/>
      <c r="B830" s="2195"/>
      <c r="C830" s="2195"/>
      <c r="D830" s="2195"/>
      <c r="E830" s="2195"/>
      <c r="F830" s="2195"/>
      <c r="G830" s="2195"/>
      <c r="H830" s="2195"/>
      <c r="I830" s="2195"/>
      <c r="K830" s="910"/>
    </row>
    <row r="831" spans="1:11" s="911" customFormat="1" ht="24.95" customHeight="1">
      <c r="A831" s="2184" t="s">
        <v>208</v>
      </c>
      <c r="B831" s="2185"/>
      <c r="C831" s="2196" t="s">
        <v>1852</v>
      </c>
      <c r="D831" s="2197"/>
      <c r="E831" s="2197"/>
      <c r="F831" s="2197"/>
      <c r="G831" s="2197"/>
      <c r="H831" s="2197"/>
      <c r="I831" s="2197"/>
      <c r="J831" s="2197"/>
      <c r="K831" s="2197"/>
    </row>
    <row r="832" spans="1:11" s="911" customFormat="1" ht="24.95" customHeight="1">
      <c r="A832" s="2184" t="s">
        <v>209</v>
      </c>
      <c r="B832" s="2185"/>
      <c r="C832" s="2186">
        <v>17878735</v>
      </c>
      <c r="D832" s="2187"/>
      <c r="E832" s="2187"/>
      <c r="F832" s="2187"/>
      <c r="G832" s="2187"/>
      <c r="H832" s="2187"/>
      <c r="I832" s="2187"/>
      <c r="J832" s="2187"/>
      <c r="K832" s="2187"/>
    </row>
    <row r="833" spans="1:11" s="911" customFormat="1" ht="24.95" customHeight="1">
      <c r="A833" s="2184" t="s">
        <v>211</v>
      </c>
      <c r="B833" s="2185"/>
      <c r="C833" s="2188" t="s">
        <v>1812</v>
      </c>
      <c r="D833" s="2189"/>
      <c r="E833" s="2189"/>
      <c r="F833" s="2189"/>
      <c r="G833" s="2189"/>
      <c r="H833" s="2189"/>
      <c r="I833" s="2189"/>
      <c r="J833" s="2189"/>
      <c r="K833" s="2189"/>
    </row>
    <row r="834" spans="1:11" s="911" customFormat="1" ht="24.95" customHeight="1">
      <c r="A834" s="2184" t="s">
        <v>210</v>
      </c>
      <c r="B834" s="2185"/>
      <c r="C834" s="2190" t="s">
        <v>331</v>
      </c>
      <c r="D834" s="2191"/>
      <c r="E834" s="2191"/>
      <c r="F834" s="2191"/>
      <c r="G834" s="2191"/>
      <c r="H834" s="2191"/>
      <c r="I834" s="2191"/>
      <c r="J834" s="2191"/>
      <c r="K834" s="2191"/>
    </row>
    <row r="835" spans="1:11" s="911" customFormat="1" ht="24.95" customHeight="1">
      <c r="A835" s="2176" t="s">
        <v>251</v>
      </c>
      <c r="B835" s="2177"/>
      <c r="C835" s="2178" t="s">
        <v>1897</v>
      </c>
      <c r="D835" s="2179"/>
      <c r="E835" s="2179"/>
      <c r="F835" s="2179"/>
      <c r="G835" s="2179"/>
      <c r="H835" s="2179"/>
      <c r="I835" s="2179"/>
      <c r="J835" s="2179"/>
      <c r="K835" s="2179"/>
    </row>
    <row r="836" spans="1:11" s="711" customFormat="1" ht="24.95" customHeight="1">
      <c r="A836" s="2180" t="s">
        <v>122</v>
      </c>
      <c r="B836" s="2182" t="s">
        <v>253</v>
      </c>
      <c r="C836" s="1935" t="s">
        <v>2038</v>
      </c>
      <c r="D836" s="1935"/>
      <c r="E836" s="1935"/>
      <c r="F836" s="1935" t="s">
        <v>2039</v>
      </c>
      <c r="G836" s="1935"/>
      <c r="H836" s="1935"/>
      <c r="I836" s="1935" t="s">
        <v>90</v>
      </c>
      <c r="J836" s="1935"/>
      <c r="K836" s="1935"/>
    </row>
    <row r="837" spans="1:11" ht="24.95" customHeight="1">
      <c r="A837" s="2181"/>
      <c r="B837" s="2183"/>
      <c r="C837" s="545" t="s">
        <v>368</v>
      </c>
      <c r="D837" s="547" t="s">
        <v>2040</v>
      </c>
      <c r="E837" s="546" t="s">
        <v>2041</v>
      </c>
      <c r="F837" s="545" t="s">
        <v>368</v>
      </c>
      <c r="G837" s="547" t="s">
        <v>2040</v>
      </c>
      <c r="H837" s="546" t="s">
        <v>2041</v>
      </c>
      <c r="I837" s="545" t="s">
        <v>368</v>
      </c>
      <c r="J837" s="547" t="s">
        <v>2040</v>
      </c>
      <c r="K837" s="546" t="s">
        <v>2041</v>
      </c>
    </row>
    <row r="838" spans="1:11" ht="24.95" customHeight="1">
      <c r="A838" s="913"/>
      <c r="B838" s="914" t="s">
        <v>2673</v>
      </c>
      <c r="C838" s="1998"/>
      <c r="D838" s="1999"/>
      <c r="E838" s="1999"/>
      <c r="F838" s="1999"/>
      <c r="G838" s="1999"/>
      <c r="H838" s="1999"/>
      <c r="I838" s="1999"/>
      <c r="J838" s="1999"/>
      <c r="K838" s="2000"/>
    </row>
    <row r="839" spans="1:11" ht="24.95" customHeight="1">
      <c r="A839" s="2171" t="s">
        <v>3214</v>
      </c>
      <c r="B839" s="2172"/>
      <c r="C839" s="1998"/>
      <c r="D839" s="1999"/>
      <c r="E839" s="1999"/>
      <c r="F839" s="1999"/>
      <c r="G839" s="1999"/>
      <c r="H839" s="1999"/>
      <c r="I839" s="1999"/>
      <c r="J839" s="1999"/>
      <c r="K839" s="2000"/>
    </row>
    <row r="840" spans="1:11" ht="24.95" customHeight="1">
      <c r="A840" s="915" t="s">
        <v>3215</v>
      </c>
      <c r="B840" s="916" t="s">
        <v>3216</v>
      </c>
      <c r="C840" s="917"/>
      <c r="D840" s="917">
        <v>14</v>
      </c>
      <c r="E840" s="918" t="e">
        <f>+D840/C840</f>
        <v>#DIV/0!</v>
      </c>
      <c r="F840" s="917">
        <v>40</v>
      </c>
      <c r="G840" s="917">
        <v>1</v>
      </c>
      <c r="H840" s="918">
        <f>+G840/F840</f>
        <v>2.5000000000000001E-2</v>
      </c>
      <c r="I840" s="919">
        <f t="shared" ref="I840:J871" si="99">+C840+F840</f>
        <v>40</v>
      </c>
      <c r="J840" s="919">
        <f>+D840+G840</f>
        <v>15</v>
      </c>
      <c r="K840" s="920">
        <f>+J840/I840</f>
        <v>0.375</v>
      </c>
    </row>
    <row r="841" spans="1:11" ht="24.95" customHeight="1">
      <c r="A841" s="915" t="s">
        <v>3217</v>
      </c>
      <c r="B841" s="916" t="s">
        <v>3218</v>
      </c>
      <c r="C841" s="917"/>
      <c r="D841" s="917">
        <v>1</v>
      </c>
      <c r="E841" s="918" t="e">
        <f t="shared" ref="E841:E901" si="100">+D841/C841</f>
        <v>#DIV/0!</v>
      </c>
      <c r="F841" s="917">
        <v>10</v>
      </c>
      <c r="G841" s="917"/>
      <c r="H841" s="918">
        <f t="shared" ref="H841:H901" si="101">+G841/F841</f>
        <v>0</v>
      </c>
      <c r="I841" s="919">
        <f t="shared" si="99"/>
        <v>10</v>
      </c>
      <c r="J841" s="919">
        <f t="shared" si="99"/>
        <v>1</v>
      </c>
      <c r="K841" s="920">
        <f t="shared" ref="K841:K901" si="102">+J841/I841</f>
        <v>0.1</v>
      </c>
    </row>
    <row r="842" spans="1:11" ht="24.95" customHeight="1">
      <c r="A842" s="915" t="s">
        <v>3219</v>
      </c>
      <c r="B842" s="916" t="s">
        <v>3220</v>
      </c>
      <c r="C842" s="917"/>
      <c r="D842" s="917"/>
      <c r="E842" s="918" t="e">
        <f t="shared" si="100"/>
        <v>#DIV/0!</v>
      </c>
      <c r="F842" s="917">
        <v>10</v>
      </c>
      <c r="G842" s="917"/>
      <c r="H842" s="918">
        <f t="shared" si="101"/>
        <v>0</v>
      </c>
      <c r="I842" s="919">
        <f t="shared" si="99"/>
        <v>10</v>
      </c>
      <c r="J842" s="919">
        <f t="shared" si="99"/>
        <v>0</v>
      </c>
      <c r="K842" s="920">
        <f t="shared" si="102"/>
        <v>0</v>
      </c>
    </row>
    <row r="843" spans="1:11" ht="24.95" customHeight="1">
      <c r="A843" s="915" t="s">
        <v>3221</v>
      </c>
      <c r="B843" s="916" t="s">
        <v>3222</v>
      </c>
      <c r="C843" s="917"/>
      <c r="D843" s="917">
        <v>1</v>
      </c>
      <c r="E843" s="918" t="e">
        <f t="shared" si="100"/>
        <v>#DIV/0!</v>
      </c>
      <c r="F843" s="917">
        <v>15</v>
      </c>
      <c r="G843" s="917"/>
      <c r="H843" s="918">
        <f t="shared" si="101"/>
        <v>0</v>
      </c>
      <c r="I843" s="919">
        <f t="shared" si="99"/>
        <v>15</v>
      </c>
      <c r="J843" s="919">
        <f t="shared" si="99"/>
        <v>1</v>
      </c>
      <c r="K843" s="920">
        <f t="shared" si="102"/>
        <v>6.6666666666666666E-2</v>
      </c>
    </row>
    <row r="844" spans="1:11" ht="24.95" customHeight="1">
      <c r="A844" s="915" t="s">
        <v>3223</v>
      </c>
      <c r="B844" s="916" t="s">
        <v>3224</v>
      </c>
      <c r="C844" s="917"/>
      <c r="D844" s="917"/>
      <c r="E844" s="918" t="e">
        <f t="shared" si="100"/>
        <v>#DIV/0!</v>
      </c>
      <c r="F844" s="917">
        <v>15</v>
      </c>
      <c r="G844" s="917"/>
      <c r="H844" s="918">
        <f t="shared" si="101"/>
        <v>0</v>
      </c>
      <c r="I844" s="919">
        <f t="shared" si="99"/>
        <v>15</v>
      </c>
      <c r="J844" s="919">
        <f t="shared" si="99"/>
        <v>0</v>
      </c>
      <c r="K844" s="920">
        <f t="shared" si="102"/>
        <v>0</v>
      </c>
    </row>
    <row r="845" spans="1:11" ht="24.95" customHeight="1">
      <c r="A845" s="915" t="s">
        <v>3225</v>
      </c>
      <c r="B845" s="916" t="s">
        <v>3226</v>
      </c>
      <c r="C845" s="917"/>
      <c r="D845" s="917"/>
      <c r="E845" s="918" t="e">
        <f t="shared" si="100"/>
        <v>#DIV/0!</v>
      </c>
      <c r="F845" s="917">
        <v>5</v>
      </c>
      <c r="G845" s="917">
        <v>1</v>
      </c>
      <c r="H845" s="918">
        <f t="shared" si="101"/>
        <v>0.2</v>
      </c>
      <c r="I845" s="919">
        <f t="shared" si="99"/>
        <v>5</v>
      </c>
      <c r="J845" s="919">
        <f t="shared" si="99"/>
        <v>1</v>
      </c>
      <c r="K845" s="920">
        <f t="shared" si="102"/>
        <v>0.2</v>
      </c>
    </row>
    <row r="846" spans="1:11" ht="24.95" customHeight="1">
      <c r="A846" s="921" t="s">
        <v>3227</v>
      </c>
      <c r="B846" s="922" t="s">
        <v>3228</v>
      </c>
      <c r="C846" s="917">
        <v>0</v>
      </c>
      <c r="D846" s="917"/>
      <c r="E846" s="918" t="e">
        <f t="shared" si="100"/>
        <v>#DIV/0!</v>
      </c>
      <c r="F846" s="917">
        <v>1</v>
      </c>
      <c r="G846" s="917"/>
      <c r="H846" s="918">
        <f t="shared" si="101"/>
        <v>0</v>
      </c>
      <c r="I846" s="919">
        <f t="shared" si="99"/>
        <v>1</v>
      </c>
      <c r="J846" s="919">
        <f t="shared" si="99"/>
        <v>0</v>
      </c>
      <c r="K846" s="920">
        <f t="shared" si="102"/>
        <v>0</v>
      </c>
    </row>
    <row r="847" spans="1:11" ht="24.95" customHeight="1">
      <c r="A847" s="921" t="s">
        <v>3229</v>
      </c>
      <c r="B847" s="922" t="s">
        <v>3230</v>
      </c>
      <c r="C847" s="917"/>
      <c r="D847" s="917"/>
      <c r="E847" s="918" t="e">
        <f t="shared" si="100"/>
        <v>#DIV/0!</v>
      </c>
      <c r="F847" s="917">
        <v>10</v>
      </c>
      <c r="G847" s="917"/>
      <c r="H847" s="918">
        <f t="shared" si="101"/>
        <v>0</v>
      </c>
      <c r="I847" s="919">
        <f t="shared" si="99"/>
        <v>10</v>
      </c>
      <c r="J847" s="919">
        <f t="shared" si="99"/>
        <v>0</v>
      </c>
      <c r="K847" s="920">
        <f t="shared" si="102"/>
        <v>0</v>
      </c>
    </row>
    <row r="848" spans="1:11" ht="24.95" customHeight="1">
      <c r="A848" s="921" t="s">
        <v>3231</v>
      </c>
      <c r="B848" s="922" t="s">
        <v>3232</v>
      </c>
      <c r="C848" s="917"/>
      <c r="D848" s="917">
        <v>6</v>
      </c>
      <c r="E848" s="918" t="e">
        <f t="shared" si="100"/>
        <v>#DIV/0!</v>
      </c>
      <c r="F848" s="917">
        <v>15</v>
      </c>
      <c r="G848" s="917">
        <v>3</v>
      </c>
      <c r="H848" s="918">
        <f t="shared" si="101"/>
        <v>0.2</v>
      </c>
      <c r="I848" s="919">
        <f t="shared" si="99"/>
        <v>15</v>
      </c>
      <c r="J848" s="919">
        <f t="shared" si="99"/>
        <v>9</v>
      </c>
      <c r="K848" s="920">
        <f t="shared" si="102"/>
        <v>0.6</v>
      </c>
    </row>
    <row r="849" spans="1:11" ht="24.95" customHeight="1">
      <c r="A849" s="921" t="s">
        <v>2815</v>
      </c>
      <c r="B849" s="922" t="s">
        <v>3233</v>
      </c>
      <c r="C849" s="917">
        <v>15</v>
      </c>
      <c r="D849" s="917">
        <v>23</v>
      </c>
      <c r="E849" s="918">
        <f t="shared" si="100"/>
        <v>1.5333333333333334</v>
      </c>
      <c r="F849" s="917"/>
      <c r="G849" s="917"/>
      <c r="H849" s="918" t="e">
        <f t="shared" si="101"/>
        <v>#DIV/0!</v>
      </c>
      <c r="I849" s="919">
        <f t="shared" si="99"/>
        <v>15</v>
      </c>
      <c r="J849" s="919">
        <f t="shared" si="99"/>
        <v>23</v>
      </c>
      <c r="K849" s="920">
        <f t="shared" si="102"/>
        <v>1.5333333333333334</v>
      </c>
    </row>
    <row r="850" spans="1:11" ht="24.95" customHeight="1">
      <c r="A850" s="921" t="s">
        <v>3234</v>
      </c>
      <c r="B850" s="922" t="s">
        <v>3235</v>
      </c>
      <c r="C850" s="917"/>
      <c r="D850" s="917"/>
      <c r="E850" s="918" t="e">
        <f t="shared" si="100"/>
        <v>#DIV/0!</v>
      </c>
      <c r="F850" s="917"/>
      <c r="G850" s="917">
        <v>1</v>
      </c>
      <c r="H850" s="918" t="e">
        <f t="shared" si="101"/>
        <v>#DIV/0!</v>
      </c>
      <c r="I850" s="919">
        <f t="shared" si="99"/>
        <v>0</v>
      </c>
      <c r="J850" s="919">
        <f t="shared" si="99"/>
        <v>1</v>
      </c>
      <c r="K850" s="920" t="e">
        <f t="shared" si="102"/>
        <v>#DIV/0!</v>
      </c>
    </row>
    <row r="851" spans="1:11" ht="24.95" customHeight="1">
      <c r="A851" s="921" t="s">
        <v>3236</v>
      </c>
      <c r="B851" s="922" t="s">
        <v>3237</v>
      </c>
      <c r="C851" s="917"/>
      <c r="D851" s="917"/>
      <c r="E851" s="918" t="e">
        <f t="shared" si="100"/>
        <v>#DIV/0!</v>
      </c>
      <c r="F851" s="917">
        <v>3</v>
      </c>
      <c r="G851" s="917"/>
      <c r="H851" s="918">
        <f t="shared" si="101"/>
        <v>0</v>
      </c>
      <c r="I851" s="919">
        <f t="shared" si="99"/>
        <v>3</v>
      </c>
      <c r="J851" s="919">
        <f t="shared" si="99"/>
        <v>0</v>
      </c>
      <c r="K851" s="920">
        <f t="shared" si="102"/>
        <v>0</v>
      </c>
    </row>
    <row r="852" spans="1:11" ht="24.95" customHeight="1">
      <c r="A852" s="921" t="s">
        <v>3238</v>
      </c>
      <c r="B852" s="922" t="s">
        <v>3239</v>
      </c>
      <c r="C852" s="917"/>
      <c r="D852" s="917"/>
      <c r="E852" s="918" t="e">
        <f t="shared" si="100"/>
        <v>#DIV/0!</v>
      </c>
      <c r="F852" s="917"/>
      <c r="G852" s="917"/>
      <c r="H852" s="918" t="e">
        <f t="shared" si="101"/>
        <v>#DIV/0!</v>
      </c>
      <c r="I852" s="919">
        <f t="shared" si="99"/>
        <v>0</v>
      </c>
      <c r="J852" s="919">
        <f t="shared" si="99"/>
        <v>0</v>
      </c>
      <c r="K852" s="920" t="e">
        <f t="shared" si="102"/>
        <v>#DIV/0!</v>
      </c>
    </row>
    <row r="853" spans="1:11" ht="24.95" customHeight="1">
      <c r="A853" s="921" t="s">
        <v>3240</v>
      </c>
      <c r="B853" s="922" t="s">
        <v>3241</v>
      </c>
      <c r="C853" s="917"/>
      <c r="D853" s="917"/>
      <c r="E853" s="918" t="e">
        <f t="shared" si="100"/>
        <v>#DIV/0!</v>
      </c>
      <c r="F853" s="917">
        <v>2</v>
      </c>
      <c r="G853" s="917"/>
      <c r="H853" s="918">
        <f t="shared" si="101"/>
        <v>0</v>
      </c>
      <c r="I853" s="919">
        <f t="shared" si="99"/>
        <v>2</v>
      </c>
      <c r="J853" s="919">
        <f t="shared" si="99"/>
        <v>0</v>
      </c>
      <c r="K853" s="920">
        <f t="shared" si="102"/>
        <v>0</v>
      </c>
    </row>
    <row r="854" spans="1:11" ht="24.95" customHeight="1">
      <c r="A854" s="921" t="s">
        <v>3242</v>
      </c>
      <c r="B854" s="922" t="s">
        <v>3243</v>
      </c>
      <c r="C854" s="917"/>
      <c r="D854" s="917"/>
      <c r="E854" s="918" t="e">
        <f t="shared" si="100"/>
        <v>#DIV/0!</v>
      </c>
      <c r="F854" s="917">
        <v>1</v>
      </c>
      <c r="G854" s="917"/>
      <c r="H854" s="918">
        <f t="shared" si="101"/>
        <v>0</v>
      </c>
      <c r="I854" s="919">
        <f t="shared" si="99"/>
        <v>1</v>
      </c>
      <c r="J854" s="919">
        <f t="shared" si="99"/>
        <v>0</v>
      </c>
      <c r="K854" s="920">
        <f t="shared" si="102"/>
        <v>0</v>
      </c>
    </row>
    <row r="855" spans="1:11" ht="24.95" customHeight="1">
      <c r="A855" s="921" t="s">
        <v>3244</v>
      </c>
      <c r="B855" s="922" t="s">
        <v>3245</v>
      </c>
      <c r="C855" s="917">
        <v>2</v>
      </c>
      <c r="D855" s="917"/>
      <c r="E855" s="918">
        <f t="shared" si="100"/>
        <v>0</v>
      </c>
      <c r="F855" s="917">
        <v>12</v>
      </c>
      <c r="G855" s="917">
        <v>5</v>
      </c>
      <c r="H855" s="918">
        <f t="shared" si="101"/>
        <v>0.41666666666666669</v>
      </c>
      <c r="I855" s="919">
        <f t="shared" si="99"/>
        <v>14</v>
      </c>
      <c r="J855" s="919">
        <f t="shared" si="99"/>
        <v>5</v>
      </c>
      <c r="K855" s="920">
        <f t="shared" si="102"/>
        <v>0.35714285714285715</v>
      </c>
    </row>
    <row r="856" spans="1:11" ht="24.95" customHeight="1">
      <c r="A856" s="921" t="s">
        <v>3246</v>
      </c>
      <c r="B856" s="922" t="s">
        <v>3247</v>
      </c>
      <c r="C856" s="917"/>
      <c r="D856" s="917"/>
      <c r="E856" s="918" t="e">
        <f t="shared" si="100"/>
        <v>#DIV/0!</v>
      </c>
      <c r="F856" s="917">
        <v>10</v>
      </c>
      <c r="G856" s="917">
        <v>3</v>
      </c>
      <c r="H856" s="918">
        <f t="shared" si="101"/>
        <v>0.3</v>
      </c>
      <c r="I856" s="919">
        <f t="shared" si="99"/>
        <v>10</v>
      </c>
      <c r="J856" s="919">
        <f t="shared" si="99"/>
        <v>3</v>
      </c>
      <c r="K856" s="920">
        <f t="shared" si="102"/>
        <v>0.3</v>
      </c>
    </row>
    <row r="857" spans="1:11" ht="24.95" customHeight="1">
      <c r="A857" s="921" t="s">
        <v>3248</v>
      </c>
      <c r="B857" s="922" t="s">
        <v>3249</v>
      </c>
      <c r="C857" s="917">
        <v>2</v>
      </c>
      <c r="D857" s="917">
        <v>1</v>
      </c>
      <c r="E857" s="918">
        <f t="shared" si="100"/>
        <v>0.5</v>
      </c>
      <c r="F857" s="917"/>
      <c r="G857" s="917"/>
      <c r="H857" s="918" t="e">
        <f t="shared" si="101"/>
        <v>#DIV/0!</v>
      </c>
      <c r="I857" s="919">
        <f t="shared" si="99"/>
        <v>2</v>
      </c>
      <c r="J857" s="919">
        <f t="shared" si="99"/>
        <v>1</v>
      </c>
      <c r="K857" s="920">
        <f t="shared" si="102"/>
        <v>0.5</v>
      </c>
    </row>
    <row r="858" spans="1:11" ht="24.95" customHeight="1">
      <c r="A858" s="921" t="s">
        <v>3250</v>
      </c>
      <c r="B858" s="922" t="s">
        <v>3251</v>
      </c>
      <c r="C858" s="917"/>
      <c r="D858" s="917"/>
      <c r="E858" s="918" t="e">
        <f t="shared" si="100"/>
        <v>#DIV/0!</v>
      </c>
      <c r="F858" s="917">
        <v>11</v>
      </c>
      <c r="G858" s="917">
        <v>4</v>
      </c>
      <c r="H858" s="918">
        <f t="shared" si="101"/>
        <v>0.36363636363636365</v>
      </c>
      <c r="I858" s="919">
        <f t="shared" si="99"/>
        <v>11</v>
      </c>
      <c r="J858" s="919">
        <f t="shared" si="99"/>
        <v>4</v>
      </c>
      <c r="K858" s="920">
        <f t="shared" si="102"/>
        <v>0.36363636363636365</v>
      </c>
    </row>
    <row r="859" spans="1:11" ht="24.95" customHeight="1">
      <c r="A859" s="921" t="s">
        <v>3252</v>
      </c>
      <c r="B859" s="922" t="s">
        <v>3253</v>
      </c>
      <c r="C859" s="917"/>
      <c r="D859" s="917"/>
      <c r="E859" s="918" t="e">
        <f t="shared" si="100"/>
        <v>#DIV/0!</v>
      </c>
      <c r="F859" s="917">
        <v>20</v>
      </c>
      <c r="G859" s="917">
        <v>32</v>
      </c>
      <c r="H859" s="918">
        <f t="shared" si="101"/>
        <v>1.6</v>
      </c>
      <c r="I859" s="919">
        <f t="shared" si="99"/>
        <v>20</v>
      </c>
      <c r="J859" s="919">
        <f t="shared" si="99"/>
        <v>32</v>
      </c>
      <c r="K859" s="920">
        <f t="shared" si="102"/>
        <v>1.6</v>
      </c>
    </row>
    <row r="860" spans="1:11" ht="24.95" customHeight="1">
      <c r="A860" s="921" t="s">
        <v>3254</v>
      </c>
      <c r="B860" s="922" t="s">
        <v>3255</v>
      </c>
      <c r="C860" s="917"/>
      <c r="D860" s="917"/>
      <c r="E860" s="918" t="e">
        <f t="shared" si="100"/>
        <v>#DIV/0!</v>
      </c>
      <c r="F860" s="917">
        <v>5</v>
      </c>
      <c r="G860" s="917"/>
      <c r="H860" s="918">
        <f t="shared" si="101"/>
        <v>0</v>
      </c>
      <c r="I860" s="919">
        <f t="shared" si="99"/>
        <v>5</v>
      </c>
      <c r="J860" s="919">
        <f t="shared" si="99"/>
        <v>0</v>
      </c>
      <c r="K860" s="920">
        <f t="shared" si="102"/>
        <v>0</v>
      </c>
    </row>
    <row r="861" spans="1:11" ht="24.95" customHeight="1">
      <c r="A861" s="921" t="s">
        <v>3256</v>
      </c>
      <c r="B861" s="922" t="s">
        <v>3257</v>
      </c>
      <c r="C861" s="917">
        <v>1</v>
      </c>
      <c r="D861" s="917"/>
      <c r="E861" s="918">
        <f t="shared" si="100"/>
        <v>0</v>
      </c>
      <c r="F861" s="917"/>
      <c r="G861" s="917"/>
      <c r="H861" s="918" t="e">
        <f t="shared" si="101"/>
        <v>#DIV/0!</v>
      </c>
      <c r="I861" s="919">
        <f t="shared" si="99"/>
        <v>1</v>
      </c>
      <c r="J861" s="919">
        <f t="shared" si="99"/>
        <v>0</v>
      </c>
      <c r="K861" s="920">
        <f t="shared" si="102"/>
        <v>0</v>
      </c>
    </row>
    <row r="862" spans="1:11" ht="24.95" customHeight="1">
      <c r="A862" s="921" t="s">
        <v>3258</v>
      </c>
      <c r="B862" s="922" t="s">
        <v>3259</v>
      </c>
      <c r="C862" s="917">
        <v>2</v>
      </c>
      <c r="D862" s="917">
        <v>2</v>
      </c>
      <c r="E862" s="918">
        <f t="shared" si="100"/>
        <v>1</v>
      </c>
      <c r="F862" s="917">
        <v>10</v>
      </c>
      <c r="G862" s="917">
        <v>1</v>
      </c>
      <c r="H862" s="918">
        <f t="shared" si="101"/>
        <v>0.1</v>
      </c>
      <c r="I862" s="919">
        <f t="shared" si="99"/>
        <v>12</v>
      </c>
      <c r="J862" s="919">
        <f t="shared" si="99"/>
        <v>3</v>
      </c>
      <c r="K862" s="920">
        <f t="shared" si="102"/>
        <v>0.25</v>
      </c>
    </row>
    <row r="863" spans="1:11" ht="24.95" customHeight="1">
      <c r="A863" s="921" t="s">
        <v>3260</v>
      </c>
      <c r="B863" s="922" t="s">
        <v>3261</v>
      </c>
      <c r="C863" s="917">
        <v>5</v>
      </c>
      <c r="D863" s="917"/>
      <c r="E863" s="918">
        <f t="shared" si="100"/>
        <v>0</v>
      </c>
      <c r="F863" s="917"/>
      <c r="G863" s="917"/>
      <c r="H863" s="918" t="e">
        <f t="shared" si="101"/>
        <v>#DIV/0!</v>
      </c>
      <c r="I863" s="919">
        <f t="shared" si="99"/>
        <v>5</v>
      </c>
      <c r="J863" s="919">
        <f t="shared" si="99"/>
        <v>0</v>
      </c>
      <c r="K863" s="920">
        <f t="shared" si="102"/>
        <v>0</v>
      </c>
    </row>
    <row r="864" spans="1:11" ht="24.95" customHeight="1">
      <c r="A864" s="921" t="s">
        <v>3262</v>
      </c>
      <c r="B864" s="922" t="s">
        <v>3263</v>
      </c>
      <c r="C864" s="917"/>
      <c r="D864" s="917"/>
      <c r="E864" s="918" t="e">
        <f t="shared" si="100"/>
        <v>#DIV/0!</v>
      </c>
      <c r="F864" s="917">
        <v>12</v>
      </c>
      <c r="G864" s="917"/>
      <c r="H864" s="918">
        <f t="shared" si="101"/>
        <v>0</v>
      </c>
      <c r="I864" s="919">
        <f t="shared" si="99"/>
        <v>12</v>
      </c>
      <c r="J864" s="919">
        <f t="shared" si="99"/>
        <v>0</v>
      </c>
      <c r="K864" s="920">
        <f t="shared" si="102"/>
        <v>0</v>
      </c>
    </row>
    <row r="865" spans="1:11" ht="24.95" customHeight="1">
      <c r="A865" s="921" t="s">
        <v>3264</v>
      </c>
      <c r="B865" s="922" t="s">
        <v>3265</v>
      </c>
      <c r="C865" s="917"/>
      <c r="D865" s="917"/>
      <c r="E865" s="918" t="e">
        <f t="shared" si="100"/>
        <v>#DIV/0!</v>
      </c>
      <c r="F865" s="917">
        <v>5</v>
      </c>
      <c r="G865" s="917"/>
      <c r="H865" s="918">
        <f t="shared" si="101"/>
        <v>0</v>
      </c>
      <c r="I865" s="919">
        <f t="shared" si="99"/>
        <v>5</v>
      </c>
      <c r="J865" s="919">
        <f t="shared" si="99"/>
        <v>0</v>
      </c>
      <c r="K865" s="920">
        <f t="shared" si="102"/>
        <v>0</v>
      </c>
    </row>
    <row r="866" spans="1:11" ht="24.95" customHeight="1">
      <c r="A866" s="921" t="s">
        <v>3266</v>
      </c>
      <c r="B866" s="922" t="s">
        <v>3267</v>
      </c>
      <c r="C866" s="917"/>
      <c r="D866" s="917"/>
      <c r="E866" s="918" t="e">
        <f t="shared" si="100"/>
        <v>#DIV/0!</v>
      </c>
      <c r="F866" s="917">
        <v>30</v>
      </c>
      <c r="G866" s="917">
        <v>23</v>
      </c>
      <c r="H866" s="918">
        <f t="shared" si="101"/>
        <v>0.76666666666666672</v>
      </c>
      <c r="I866" s="919">
        <f t="shared" si="99"/>
        <v>30</v>
      </c>
      <c r="J866" s="919">
        <f t="shared" si="99"/>
        <v>23</v>
      </c>
      <c r="K866" s="920">
        <f t="shared" si="102"/>
        <v>0.76666666666666672</v>
      </c>
    </row>
    <row r="867" spans="1:11" ht="24.95" customHeight="1">
      <c r="A867" s="921" t="s">
        <v>3268</v>
      </c>
      <c r="B867" s="922" t="s">
        <v>3269</v>
      </c>
      <c r="C867" s="917"/>
      <c r="D867" s="917"/>
      <c r="E867" s="918" t="e">
        <f t="shared" si="100"/>
        <v>#DIV/0!</v>
      </c>
      <c r="F867" s="917">
        <v>10</v>
      </c>
      <c r="G867" s="917"/>
      <c r="H867" s="918">
        <f t="shared" si="101"/>
        <v>0</v>
      </c>
      <c r="I867" s="919">
        <f t="shared" si="99"/>
        <v>10</v>
      </c>
      <c r="J867" s="919">
        <f t="shared" si="99"/>
        <v>0</v>
      </c>
      <c r="K867" s="920">
        <f t="shared" si="102"/>
        <v>0</v>
      </c>
    </row>
    <row r="868" spans="1:11" ht="24.95" customHeight="1">
      <c r="A868" s="921" t="s">
        <v>3270</v>
      </c>
      <c r="B868" s="916" t="s">
        <v>3271</v>
      </c>
      <c r="C868" s="917"/>
      <c r="D868" s="917"/>
      <c r="E868" s="918" t="e">
        <f t="shared" si="100"/>
        <v>#DIV/0!</v>
      </c>
      <c r="F868" s="917">
        <v>5</v>
      </c>
      <c r="G868" s="917"/>
      <c r="H868" s="918">
        <f t="shared" si="101"/>
        <v>0</v>
      </c>
      <c r="I868" s="919">
        <f t="shared" si="99"/>
        <v>5</v>
      </c>
      <c r="J868" s="919">
        <f t="shared" si="99"/>
        <v>0</v>
      </c>
      <c r="K868" s="920">
        <f t="shared" si="102"/>
        <v>0</v>
      </c>
    </row>
    <row r="869" spans="1:11" ht="24.95" customHeight="1">
      <c r="A869" s="921" t="s">
        <v>3272</v>
      </c>
      <c r="B869" s="922" t="s">
        <v>3273</v>
      </c>
      <c r="C869" s="917"/>
      <c r="D869" s="917"/>
      <c r="E869" s="918" t="e">
        <f t="shared" si="100"/>
        <v>#DIV/0!</v>
      </c>
      <c r="F869" s="917">
        <v>12</v>
      </c>
      <c r="G869" s="917">
        <v>7</v>
      </c>
      <c r="H869" s="918">
        <f t="shared" si="101"/>
        <v>0.58333333333333337</v>
      </c>
      <c r="I869" s="919">
        <f t="shared" si="99"/>
        <v>12</v>
      </c>
      <c r="J869" s="919">
        <f t="shared" si="99"/>
        <v>7</v>
      </c>
      <c r="K869" s="920">
        <f t="shared" si="102"/>
        <v>0.58333333333333337</v>
      </c>
    </row>
    <row r="870" spans="1:11" ht="24.95" customHeight="1">
      <c r="A870" s="921" t="s">
        <v>3274</v>
      </c>
      <c r="B870" s="922" t="s">
        <v>3275</v>
      </c>
      <c r="C870" s="917"/>
      <c r="D870" s="917"/>
      <c r="E870" s="918" t="e">
        <f t="shared" si="100"/>
        <v>#DIV/0!</v>
      </c>
      <c r="F870" s="917">
        <v>2</v>
      </c>
      <c r="G870" s="917">
        <v>1</v>
      </c>
      <c r="H870" s="918">
        <f t="shared" si="101"/>
        <v>0.5</v>
      </c>
      <c r="I870" s="919">
        <f t="shared" si="99"/>
        <v>2</v>
      </c>
      <c r="J870" s="919">
        <f t="shared" si="99"/>
        <v>1</v>
      </c>
      <c r="K870" s="920">
        <f t="shared" si="102"/>
        <v>0.5</v>
      </c>
    </row>
    <row r="871" spans="1:11" ht="24.95" customHeight="1">
      <c r="A871" s="921" t="s">
        <v>3276</v>
      </c>
      <c r="B871" s="922" t="s">
        <v>3277</v>
      </c>
      <c r="C871" s="917"/>
      <c r="D871" s="917"/>
      <c r="E871" s="918" t="e">
        <f t="shared" si="100"/>
        <v>#DIV/0!</v>
      </c>
      <c r="F871" s="917">
        <v>5</v>
      </c>
      <c r="G871" s="917">
        <v>2</v>
      </c>
      <c r="H871" s="918">
        <f t="shared" si="101"/>
        <v>0.4</v>
      </c>
      <c r="I871" s="919">
        <f t="shared" si="99"/>
        <v>5</v>
      </c>
      <c r="J871" s="919">
        <f t="shared" si="99"/>
        <v>2</v>
      </c>
      <c r="K871" s="920">
        <f t="shared" si="102"/>
        <v>0.4</v>
      </c>
    </row>
    <row r="872" spans="1:11" ht="24.95" customHeight="1">
      <c r="A872" s="921" t="s">
        <v>3278</v>
      </c>
      <c r="B872" s="922" t="s">
        <v>3279</v>
      </c>
      <c r="C872" s="917"/>
      <c r="D872" s="917"/>
      <c r="E872" s="918" t="e">
        <f t="shared" si="100"/>
        <v>#DIV/0!</v>
      </c>
      <c r="F872" s="917">
        <v>2</v>
      </c>
      <c r="G872" s="917">
        <v>1</v>
      </c>
      <c r="H872" s="918">
        <f t="shared" si="101"/>
        <v>0.5</v>
      </c>
      <c r="I872" s="919">
        <f t="shared" ref="I872:J900" si="103">+C872+F872</f>
        <v>2</v>
      </c>
      <c r="J872" s="919">
        <f t="shared" si="103"/>
        <v>1</v>
      </c>
      <c r="K872" s="920">
        <f t="shared" si="102"/>
        <v>0.5</v>
      </c>
    </row>
    <row r="873" spans="1:11" ht="24.95" customHeight="1">
      <c r="A873" s="921" t="s">
        <v>3280</v>
      </c>
      <c r="B873" s="922" t="s">
        <v>3281</v>
      </c>
      <c r="C873" s="917">
        <v>1</v>
      </c>
      <c r="D873" s="917"/>
      <c r="E873" s="918">
        <f t="shared" si="100"/>
        <v>0</v>
      </c>
      <c r="F873" s="917"/>
      <c r="G873" s="917"/>
      <c r="H873" s="918" t="e">
        <f t="shared" si="101"/>
        <v>#DIV/0!</v>
      </c>
      <c r="I873" s="919">
        <f t="shared" si="103"/>
        <v>1</v>
      </c>
      <c r="J873" s="919">
        <f t="shared" si="103"/>
        <v>0</v>
      </c>
      <c r="K873" s="920">
        <f t="shared" si="102"/>
        <v>0</v>
      </c>
    </row>
    <row r="874" spans="1:11" ht="24.95" customHeight="1">
      <c r="A874" s="921" t="s">
        <v>3282</v>
      </c>
      <c r="B874" s="922" t="s">
        <v>3283</v>
      </c>
      <c r="C874" s="917"/>
      <c r="D874" s="917"/>
      <c r="E874" s="918" t="e">
        <f t="shared" si="100"/>
        <v>#DIV/0!</v>
      </c>
      <c r="F874" s="917">
        <v>2</v>
      </c>
      <c r="G874" s="917"/>
      <c r="H874" s="918">
        <f t="shared" si="101"/>
        <v>0</v>
      </c>
      <c r="I874" s="919">
        <f t="shared" si="103"/>
        <v>2</v>
      </c>
      <c r="J874" s="919">
        <f t="shared" si="103"/>
        <v>0</v>
      </c>
      <c r="K874" s="920">
        <f t="shared" si="102"/>
        <v>0</v>
      </c>
    </row>
    <row r="875" spans="1:11" ht="24.95" customHeight="1">
      <c r="A875" s="921" t="s">
        <v>3284</v>
      </c>
      <c r="B875" s="922" t="s">
        <v>3285</v>
      </c>
      <c r="C875" s="917">
        <v>1</v>
      </c>
      <c r="D875" s="917"/>
      <c r="E875" s="918">
        <f t="shared" si="100"/>
        <v>0</v>
      </c>
      <c r="F875" s="917">
        <v>5</v>
      </c>
      <c r="G875" s="917">
        <v>1</v>
      </c>
      <c r="H875" s="918">
        <f t="shared" si="101"/>
        <v>0.2</v>
      </c>
      <c r="I875" s="919">
        <f t="shared" si="103"/>
        <v>6</v>
      </c>
      <c r="J875" s="919">
        <f t="shared" si="103"/>
        <v>1</v>
      </c>
      <c r="K875" s="920">
        <f t="shared" si="102"/>
        <v>0.16666666666666666</v>
      </c>
    </row>
    <row r="876" spans="1:11" ht="24.95" customHeight="1">
      <c r="A876" s="921" t="s">
        <v>3286</v>
      </c>
      <c r="B876" s="922" t="s">
        <v>3287</v>
      </c>
      <c r="C876" s="917"/>
      <c r="D876" s="917"/>
      <c r="E876" s="918" t="e">
        <f t="shared" si="100"/>
        <v>#DIV/0!</v>
      </c>
      <c r="F876" s="917">
        <v>3</v>
      </c>
      <c r="G876" s="917">
        <v>1</v>
      </c>
      <c r="H876" s="918">
        <f t="shared" si="101"/>
        <v>0.33333333333333331</v>
      </c>
      <c r="I876" s="919">
        <f t="shared" si="103"/>
        <v>3</v>
      </c>
      <c r="J876" s="919">
        <f t="shared" si="103"/>
        <v>1</v>
      </c>
      <c r="K876" s="920">
        <f t="shared" si="102"/>
        <v>0.33333333333333331</v>
      </c>
    </row>
    <row r="877" spans="1:11" ht="24.95" customHeight="1">
      <c r="A877" s="921" t="s">
        <v>3288</v>
      </c>
      <c r="B877" s="922" t="s">
        <v>3289</v>
      </c>
      <c r="C877" s="917"/>
      <c r="D877" s="917"/>
      <c r="E877" s="918" t="e">
        <f t="shared" si="100"/>
        <v>#DIV/0!</v>
      </c>
      <c r="F877" s="917">
        <v>10</v>
      </c>
      <c r="G877" s="917">
        <v>1</v>
      </c>
      <c r="H877" s="918">
        <f t="shared" si="101"/>
        <v>0.1</v>
      </c>
      <c r="I877" s="919">
        <f t="shared" si="103"/>
        <v>10</v>
      </c>
      <c r="J877" s="919">
        <f t="shared" si="103"/>
        <v>1</v>
      </c>
      <c r="K877" s="920">
        <f t="shared" si="102"/>
        <v>0.1</v>
      </c>
    </row>
    <row r="878" spans="1:11" ht="24.95" customHeight="1">
      <c r="A878" s="921" t="s">
        <v>3290</v>
      </c>
      <c r="B878" s="922" t="s">
        <v>3291</v>
      </c>
      <c r="C878" s="917"/>
      <c r="D878" s="917"/>
      <c r="E878" s="918" t="e">
        <f t="shared" si="100"/>
        <v>#DIV/0!</v>
      </c>
      <c r="F878" s="917">
        <v>2</v>
      </c>
      <c r="G878" s="917"/>
      <c r="H878" s="918">
        <f t="shared" si="101"/>
        <v>0</v>
      </c>
      <c r="I878" s="919">
        <f t="shared" si="103"/>
        <v>2</v>
      </c>
      <c r="J878" s="919">
        <f t="shared" si="103"/>
        <v>0</v>
      </c>
      <c r="K878" s="920">
        <f t="shared" si="102"/>
        <v>0</v>
      </c>
    </row>
    <row r="879" spans="1:11" ht="24.95" customHeight="1">
      <c r="A879" s="921" t="s">
        <v>3292</v>
      </c>
      <c r="B879" s="922" t="s">
        <v>3293</v>
      </c>
      <c r="C879" s="917"/>
      <c r="D879" s="917"/>
      <c r="E879" s="918" t="e">
        <f t="shared" si="100"/>
        <v>#DIV/0!</v>
      </c>
      <c r="F879" s="917">
        <v>2</v>
      </c>
      <c r="G879" s="917"/>
      <c r="H879" s="918">
        <f t="shared" si="101"/>
        <v>0</v>
      </c>
      <c r="I879" s="919">
        <f t="shared" si="103"/>
        <v>2</v>
      </c>
      <c r="J879" s="919">
        <f t="shared" si="103"/>
        <v>0</v>
      </c>
      <c r="K879" s="920">
        <f t="shared" si="102"/>
        <v>0</v>
      </c>
    </row>
    <row r="880" spans="1:11" ht="24.95" customHeight="1">
      <c r="A880" s="921" t="s">
        <v>3294</v>
      </c>
      <c r="B880" s="922" t="s">
        <v>3295</v>
      </c>
      <c r="C880" s="917"/>
      <c r="D880" s="917"/>
      <c r="E880" s="918" t="e">
        <f t="shared" si="100"/>
        <v>#DIV/0!</v>
      </c>
      <c r="F880" s="917">
        <v>40</v>
      </c>
      <c r="G880" s="917">
        <v>23</v>
      </c>
      <c r="H880" s="918">
        <f t="shared" si="101"/>
        <v>0.57499999999999996</v>
      </c>
      <c r="I880" s="919">
        <f t="shared" si="103"/>
        <v>40</v>
      </c>
      <c r="J880" s="919">
        <f t="shared" si="103"/>
        <v>23</v>
      </c>
      <c r="K880" s="920">
        <f t="shared" si="102"/>
        <v>0.57499999999999996</v>
      </c>
    </row>
    <row r="881" spans="1:11" ht="24.95" customHeight="1">
      <c r="A881" s="921" t="s">
        <v>3296</v>
      </c>
      <c r="B881" s="922" t="s">
        <v>3297</v>
      </c>
      <c r="C881" s="917"/>
      <c r="D881" s="917"/>
      <c r="E881" s="918" t="e">
        <f t="shared" si="100"/>
        <v>#DIV/0!</v>
      </c>
      <c r="F881" s="917">
        <v>110</v>
      </c>
      <c r="G881" s="917">
        <v>71</v>
      </c>
      <c r="H881" s="918">
        <f t="shared" si="101"/>
        <v>0.6454545454545455</v>
      </c>
      <c r="I881" s="919">
        <f t="shared" si="103"/>
        <v>110</v>
      </c>
      <c r="J881" s="919">
        <f t="shared" si="103"/>
        <v>71</v>
      </c>
      <c r="K881" s="920">
        <f t="shared" si="102"/>
        <v>0.6454545454545455</v>
      </c>
    </row>
    <row r="882" spans="1:11" ht="24.95" customHeight="1">
      <c r="A882" s="921" t="s">
        <v>3298</v>
      </c>
      <c r="B882" s="922" t="s">
        <v>3299</v>
      </c>
      <c r="C882" s="917"/>
      <c r="D882" s="917"/>
      <c r="E882" s="918" t="e">
        <f t="shared" si="100"/>
        <v>#DIV/0!</v>
      </c>
      <c r="F882" s="917">
        <v>150</v>
      </c>
      <c r="G882" s="917">
        <v>91</v>
      </c>
      <c r="H882" s="918">
        <f t="shared" si="101"/>
        <v>0.60666666666666669</v>
      </c>
      <c r="I882" s="919">
        <f t="shared" si="103"/>
        <v>150</v>
      </c>
      <c r="J882" s="919">
        <f t="shared" si="103"/>
        <v>91</v>
      </c>
      <c r="K882" s="920">
        <f t="shared" si="102"/>
        <v>0.60666666666666669</v>
      </c>
    </row>
    <row r="883" spans="1:11" ht="24.95" customHeight="1">
      <c r="A883" s="921" t="s">
        <v>3300</v>
      </c>
      <c r="B883" s="922" t="s">
        <v>3301</v>
      </c>
      <c r="C883" s="917"/>
      <c r="D883" s="917"/>
      <c r="E883" s="918" t="e">
        <f t="shared" si="100"/>
        <v>#DIV/0!</v>
      </c>
      <c r="F883" s="917">
        <v>60</v>
      </c>
      <c r="G883" s="917">
        <v>40</v>
      </c>
      <c r="H883" s="918">
        <f t="shared" si="101"/>
        <v>0.66666666666666663</v>
      </c>
      <c r="I883" s="919">
        <f t="shared" si="103"/>
        <v>60</v>
      </c>
      <c r="J883" s="919">
        <f t="shared" si="103"/>
        <v>40</v>
      </c>
      <c r="K883" s="920">
        <f t="shared" si="102"/>
        <v>0.66666666666666663</v>
      </c>
    </row>
    <row r="884" spans="1:11" ht="24.95" customHeight="1">
      <c r="A884" s="921" t="s">
        <v>3302</v>
      </c>
      <c r="B884" s="922" t="s">
        <v>3303</v>
      </c>
      <c r="C884" s="917"/>
      <c r="D884" s="917"/>
      <c r="E884" s="918" t="e">
        <f t="shared" si="100"/>
        <v>#DIV/0!</v>
      </c>
      <c r="F884" s="917">
        <v>1</v>
      </c>
      <c r="G884" s="917"/>
      <c r="H884" s="918">
        <f t="shared" si="101"/>
        <v>0</v>
      </c>
      <c r="I884" s="919">
        <f t="shared" si="103"/>
        <v>1</v>
      </c>
      <c r="J884" s="919">
        <f t="shared" si="103"/>
        <v>0</v>
      </c>
      <c r="K884" s="920">
        <f t="shared" si="102"/>
        <v>0</v>
      </c>
    </row>
    <row r="885" spans="1:11" ht="24.95" customHeight="1">
      <c r="A885" s="915" t="s">
        <v>3304</v>
      </c>
      <c r="B885" s="916" t="s">
        <v>3305</v>
      </c>
      <c r="C885" s="917"/>
      <c r="D885" s="917">
        <v>1</v>
      </c>
      <c r="E885" s="918" t="e">
        <f t="shared" si="100"/>
        <v>#DIV/0!</v>
      </c>
      <c r="F885" s="917">
        <v>5</v>
      </c>
      <c r="G885" s="917"/>
      <c r="H885" s="918">
        <f t="shared" si="101"/>
        <v>0</v>
      </c>
      <c r="I885" s="919">
        <f t="shared" si="103"/>
        <v>5</v>
      </c>
      <c r="J885" s="919">
        <f t="shared" si="103"/>
        <v>1</v>
      </c>
      <c r="K885" s="920">
        <f t="shared" si="102"/>
        <v>0.2</v>
      </c>
    </row>
    <row r="886" spans="1:11" ht="24.95" customHeight="1">
      <c r="A886" s="921" t="s">
        <v>3306</v>
      </c>
      <c r="B886" s="922" t="s">
        <v>3307</v>
      </c>
      <c r="C886" s="917"/>
      <c r="D886" s="917"/>
      <c r="E886" s="918" t="e">
        <f t="shared" si="100"/>
        <v>#DIV/0!</v>
      </c>
      <c r="F886" s="917">
        <v>5</v>
      </c>
      <c r="G886" s="917"/>
      <c r="H886" s="918">
        <f t="shared" si="101"/>
        <v>0</v>
      </c>
      <c r="I886" s="919">
        <f t="shared" si="103"/>
        <v>5</v>
      </c>
      <c r="J886" s="919">
        <f t="shared" si="103"/>
        <v>0</v>
      </c>
      <c r="K886" s="920">
        <f t="shared" si="102"/>
        <v>0</v>
      </c>
    </row>
    <row r="887" spans="1:11" ht="24.95" customHeight="1">
      <c r="A887" s="921" t="s">
        <v>3308</v>
      </c>
      <c r="B887" s="922" t="s">
        <v>3309</v>
      </c>
      <c r="C887" s="917"/>
      <c r="D887" s="917"/>
      <c r="E887" s="918" t="e">
        <f t="shared" si="100"/>
        <v>#DIV/0!</v>
      </c>
      <c r="F887" s="917">
        <v>3</v>
      </c>
      <c r="G887" s="917"/>
      <c r="H887" s="918">
        <f t="shared" si="101"/>
        <v>0</v>
      </c>
      <c r="I887" s="919">
        <f t="shared" si="103"/>
        <v>3</v>
      </c>
      <c r="J887" s="919">
        <f t="shared" si="103"/>
        <v>0</v>
      </c>
      <c r="K887" s="920">
        <f t="shared" si="102"/>
        <v>0</v>
      </c>
    </row>
    <row r="888" spans="1:11" ht="24.95" customHeight="1">
      <c r="A888" s="921" t="s">
        <v>3310</v>
      </c>
      <c r="B888" s="922" t="s">
        <v>3311</v>
      </c>
      <c r="C888" s="917"/>
      <c r="D888" s="917"/>
      <c r="E888" s="918" t="e">
        <f t="shared" si="100"/>
        <v>#DIV/0!</v>
      </c>
      <c r="F888" s="917">
        <v>50</v>
      </c>
      <c r="G888" s="917">
        <v>30</v>
      </c>
      <c r="H888" s="918">
        <f t="shared" si="101"/>
        <v>0.6</v>
      </c>
      <c r="I888" s="919">
        <f t="shared" si="103"/>
        <v>50</v>
      </c>
      <c r="J888" s="919">
        <f t="shared" si="103"/>
        <v>30</v>
      </c>
      <c r="K888" s="920">
        <f t="shared" si="102"/>
        <v>0.6</v>
      </c>
    </row>
    <row r="889" spans="1:11" ht="24.95" customHeight="1">
      <c r="A889" s="915" t="s">
        <v>3312</v>
      </c>
      <c r="B889" s="916" t="s">
        <v>3313</v>
      </c>
      <c r="C889" s="917"/>
      <c r="D889" s="917"/>
      <c r="E889" s="918" t="e">
        <f t="shared" si="100"/>
        <v>#DIV/0!</v>
      </c>
      <c r="F889" s="917">
        <v>10</v>
      </c>
      <c r="G889" s="917">
        <v>3</v>
      </c>
      <c r="H889" s="918">
        <f t="shared" si="101"/>
        <v>0.3</v>
      </c>
      <c r="I889" s="919">
        <f t="shared" si="103"/>
        <v>10</v>
      </c>
      <c r="J889" s="919">
        <f t="shared" si="103"/>
        <v>3</v>
      </c>
      <c r="K889" s="920">
        <f t="shared" si="102"/>
        <v>0.3</v>
      </c>
    </row>
    <row r="890" spans="1:11" ht="24.95" customHeight="1">
      <c r="A890" s="921" t="s">
        <v>3314</v>
      </c>
      <c r="B890" s="916" t="s">
        <v>3315</v>
      </c>
      <c r="C890" s="917"/>
      <c r="D890" s="917"/>
      <c r="E890" s="918" t="e">
        <f t="shared" si="100"/>
        <v>#DIV/0!</v>
      </c>
      <c r="F890" s="917">
        <v>2</v>
      </c>
      <c r="G890" s="917">
        <v>3</v>
      </c>
      <c r="H890" s="918">
        <f t="shared" si="101"/>
        <v>1.5</v>
      </c>
      <c r="I890" s="919">
        <f t="shared" si="103"/>
        <v>2</v>
      </c>
      <c r="J890" s="919">
        <f t="shared" si="103"/>
        <v>3</v>
      </c>
      <c r="K890" s="920">
        <f t="shared" si="102"/>
        <v>1.5</v>
      </c>
    </row>
    <row r="891" spans="1:11" ht="24.95" customHeight="1">
      <c r="A891" s="921" t="s">
        <v>3316</v>
      </c>
      <c r="B891" s="922" t="s">
        <v>3317</v>
      </c>
      <c r="C891" s="917"/>
      <c r="D891" s="917"/>
      <c r="E891" s="918" t="e">
        <f t="shared" si="100"/>
        <v>#DIV/0!</v>
      </c>
      <c r="F891" s="917">
        <v>5</v>
      </c>
      <c r="G891" s="917"/>
      <c r="H891" s="918">
        <f t="shared" si="101"/>
        <v>0</v>
      </c>
      <c r="I891" s="919">
        <f t="shared" si="103"/>
        <v>5</v>
      </c>
      <c r="J891" s="919">
        <f t="shared" si="103"/>
        <v>0</v>
      </c>
      <c r="K891" s="920">
        <f t="shared" si="102"/>
        <v>0</v>
      </c>
    </row>
    <row r="892" spans="1:11" ht="24.95" customHeight="1">
      <c r="A892" s="921" t="s">
        <v>3318</v>
      </c>
      <c r="B892" s="922" t="s">
        <v>3319</v>
      </c>
      <c r="C892" s="917"/>
      <c r="D892" s="917"/>
      <c r="E892" s="918" t="e">
        <f t="shared" si="100"/>
        <v>#DIV/0!</v>
      </c>
      <c r="F892" s="917">
        <v>1</v>
      </c>
      <c r="G892" s="917">
        <v>1</v>
      </c>
      <c r="H892" s="918">
        <f t="shared" si="101"/>
        <v>1</v>
      </c>
      <c r="I892" s="919">
        <f t="shared" si="103"/>
        <v>1</v>
      </c>
      <c r="J892" s="919">
        <f t="shared" si="103"/>
        <v>1</v>
      </c>
      <c r="K892" s="920">
        <f t="shared" si="102"/>
        <v>1</v>
      </c>
    </row>
    <row r="893" spans="1:11" ht="24.95" customHeight="1">
      <c r="A893" s="921" t="s">
        <v>3320</v>
      </c>
      <c r="B893" s="922" t="s">
        <v>3321</v>
      </c>
      <c r="C893" s="917"/>
      <c r="D893" s="917"/>
      <c r="E893" s="918" t="e">
        <f t="shared" si="100"/>
        <v>#DIV/0!</v>
      </c>
      <c r="F893" s="917">
        <v>1</v>
      </c>
      <c r="G893" s="917"/>
      <c r="H893" s="918">
        <f t="shared" si="101"/>
        <v>0</v>
      </c>
      <c r="I893" s="919">
        <f t="shared" si="103"/>
        <v>1</v>
      </c>
      <c r="J893" s="919">
        <f t="shared" si="103"/>
        <v>0</v>
      </c>
      <c r="K893" s="920">
        <f t="shared" si="102"/>
        <v>0</v>
      </c>
    </row>
    <row r="894" spans="1:11" ht="24.95" customHeight="1">
      <c r="A894" s="915" t="s">
        <v>3322</v>
      </c>
      <c r="B894" s="923" t="s">
        <v>3323</v>
      </c>
      <c r="C894" s="917"/>
      <c r="D894" s="917"/>
      <c r="E894" s="918" t="e">
        <f t="shared" si="100"/>
        <v>#DIV/0!</v>
      </c>
      <c r="F894" s="917">
        <v>2</v>
      </c>
      <c r="G894" s="917"/>
      <c r="H894" s="918">
        <f t="shared" si="101"/>
        <v>0</v>
      </c>
      <c r="I894" s="919">
        <f t="shared" si="103"/>
        <v>2</v>
      </c>
      <c r="J894" s="919">
        <f t="shared" si="103"/>
        <v>0</v>
      </c>
      <c r="K894" s="920">
        <f t="shared" si="102"/>
        <v>0</v>
      </c>
    </row>
    <row r="895" spans="1:11" ht="24.95" customHeight="1">
      <c r="A895" s="921" t="s">
        <v>3324</v>
      </c>
      <c r="B895" s="922" t="s">
        <v>3325</v>
      </c>
      <c r="C895" s="917"/>
      <c r="D895" s="917"/>
      <c r="E895" s="918" t="e">
        <f t="shared" si="100"/>
        <v>#DIV/0!</v>
      </c>
      <c r="F895" s="917"/>
      <c r="G895" s="917"/>
      <c r="H895" s="918" t="e">
        <f t="shared" si="101"/>
        <v>#DIV/0!</v>
      </c>
      <c r="I895" s="919">
        <f t="shared" si="103"/>
        <v>0</v>
      </c>
      <c r="J895" s="919">
        <f t="shared" si="103"/>
        <v>0</v>
      </c>
      <c r="K895" s="920" t="e">
        <f t="shared" si="102"/>
        <v>#DIV/0!</v>
      </c>
    </row>
    <row r="896" spans="1:11" ht="24.95" customHeight="1">
      <c r="A896" s="921" t="s">
        <v>3326</v>
      </c>
      <c r="B896" s="922" t="s">
        <v>3327</v>
      </c>
      <c r="C896" s="917"/>
      <c r="D896" s="917"/>
      <c r="E896" s="918" t="e">
        <f t="shared" si="100"/>
        <v>#DIV/0!</v>
      </c>
      <c r="F896" s="917">
        <v>10</v>
      </c>
      <c r="G896" s="917">
        <v>3</v>
      </c>
      <c r="H896" s="918">
        <f t="shared" si="101"/>
        <v>0.3</v>
      </c>
      <c r="I896" s="919">
        <f t="shared" si="103"/>
        <v>10</v>
      </c>
      <c r="J896" s="919">
        <f t="shared" si="103"/>
        <v>3</v>
      </c>
      <c r="K896" s="920">
        <f t="shared" si="102"/>
        <v>0.3</v>
      </c>
    </row>
    <row r="897" spans="1:11" ht="24.95" customHeight="1">
      <c r="A897" s="921" t="s">
        <v>3328</v>
      </c>
      <c r="B897" s="922" t="s">
        <v>3329</v>
      </c>
      <c r="C897" s="917">
        <v>15</v>
      </c>
      <c r="D897" s="917">
        <v>10</v>
      </c>
      <c r="E897" s="918">
        <f t="shared" si="100"/>
        <v>0.66666666666666663</v>
      </c>
      <c r="F897" s="917">
        <v>20</v>
      </c>
      <c r="G897" s="917">
        <v>10</v>
      </c>
      <c r="H897" s="918">
        <f t="shared" si="101"/>
        <v>0.5</v>
      </c>
      <c r="I897" s="919">
        <f t="shared" si="103"/>
        <v>35</v>
      </c>
      <c r="J897" s="919">
        <f t="shared" si="103"/>
        <v>20</v>
      </c>
      <c r="K897" s="920">
        <f t="shared" si="102"/>
        <v>0.5714285714285714</v>
      </c>
    </row>
    <row r="898" spans="1:11" ht="24.95" customHeight="1">
      <c r="A898" s="921" t="s">
        <v>3330</v>
      </c>
      <c r="B898" s="922" t="s">
        <v>3331</v>
      </c>
      <c r="C898" s="917"/>
      <c r="D898" s="917"/>
      <c r="E898" s="918" t="e">
        <f t="shared" si="100"/>
        <v>#DIV/0!</v>
      </c>
      <c r="F898" s="917">
        <v>1</v>
      </c>
      <c r="G898" s="917"/>
      <c r="H898" s="918">
        <f t="shared" si="101"/>
        <v>0</v>
      </c>
      <c r="I898" s="919">
        <f t="shared" si="103"/>
        <v>1</v>
      </c>
      <c r="J898" s="919">
        <f t="shared" si="103"/>
        <v>0</v>
      </c>
      <c r="K898" s="920">
        <f t="shared" si="102"/>
        <v>0</v>
      </c>
    </row>
    <row r="899" spans="1:11" ht="24.95" customHeight="1">
      <c r="A899" s="921" t="s">
        <v>3332</v>
      </c>
      <c r="B899" s="922" t="s">
        <v>3333</v>
      </c>
      <c r="C899" s="917"/>
      <c r="D899" s="917"/>
      <c r="E899" s="918" t="e">
        <f t="shared" si="100"/>
        <v>#DIV/0!</v>
      </c>
      <c r="F899" s="917">
        <v>1</v>
      </c>
      <c r="G899" s="917"/>
      <c r="H899" s="918">
        <f t="shared" si="101"/>
        <v>0</v>
      </c>
      <c r="I899" s="919">
        <f t="shared" si="103"/>
        <v>1</v>
      </c>
      <c r="J899" s="919">
        <f t="shared" si="103"/>
        <v>0</v>
      </c>
      <c r="K899" s="920">
        <f t="shared" si="102"/>
        <v>0</v>
      </c>
    </row>
    <row r="900" spans="1:11" ht="24.95" customHeight="1">
      <c r="A900" s="915" t="s">
        <v>3334</v>
      </c>
      <c r="B900" s="916" t="s">
        <v>3335</v>
      </c>
      <c r="C900" s="917"/>
      <c r="D900" s="917"/>
      <c r="E900" s="918" t="e">
        <f t="shared" si="100"/>
        <v>#DIV/0!</v>
      </c>
      <c r="F900" s="917">
        <v>3</v>
      </c>
      <c r="G900" s="917"/>
      <c r="H900" s="918">
        <f t="shared" si="101"/>
        <v>0</v>
      </c>
      <c r="I900" s="919">
        <f t="shared" si="103"/>
        <v>3</v>
      </c>
      <c r="J900" s="919">
        <f t="shared" si="103"/>
        <v>0</v>
      </c>
      <c r="K900" s="920">
        <f t="shared" si="102"/>
        <v>0</v>
      </c>
    </row>
    <row r="901" spans="1:11" ht="24.95" customHeight="1">
      <c r="A901" s="921"/>
      <c r="B901" s="916" t="s">
        <v>2</v>
      </c>
      <c r="C901" s="917">
        <f t="shared" ref="C901:J901" si="104">SUM(C841:C900)</f>
        <v>44</v>
      </c>
      <c r="D901" s="917">
        <f t="shared" si="104"/>
        <v>45</v>
      </c>
      <c r="E901" s="918">
        <f t="shared" si="100"/>
        <v>1.0227272727272727</v>
      </c>
      <c r="F901" s="917">
        <f t="shared" si="104"/>
        <v>742</v>
      </c>
      <c r="G901" s="917">
        <f t="shared" si="104"/>
        <v>362</v>
      </c>
      <c r="H901" s="918">
        <f t="shared" si="101"/>
        <v>0.48787061994609165</v>
      </c>
      <c r="I901" s="917">
        <f t="shared" si="104"/>
        <v>786</v>
      </c>
      <c r="J901" s="917">
        <f t="shared" si="104"/>
        <v>407</v>
      </c>
      <c r="K901" s="920">
        <f t="shared" si="102"/>
        <v>0.51781170483460559</v>
      </c>
    </row>
    <row r="902" spans="1:11" ht="24.95" customHeight="1">
      <c r="A902" s="2173" t="s">
        <v>3336</v>
      </c>
      <c r="B902" s="2174"/>
      <c r="C902" s="2175"/>
      <c r="D902" s="2175"/>
      <c r="E902" s="2175"/>
      <c r="F902" s="2175"/>
      <c r="G902" s="2175"/>
      <c r="H902" s="2175"/>
      <c r="I902" s="2175"/>
      <c r="J902" s="924"/>
      <c r="K902" s="918"/>
    </row>
    <row r="903" spans="1:11" ht="24.95" customHeight="1">
      <c r="A903" s="921" t="s">
        <v>3337</v>
      </c>
      <c r="B903" s="916" t="s">
        <v>3338</v>
      </c>
      <c r="C903" s="917"/>
      <c r="D903" s="917"/>
      <c r="E903" s="918" t="e">
        <f>+D903/C903</f>
        <v>#DIV/0!</v>
      </c>
      <c r="F903" s="917">
        <v>2</v>
      </c>
      <c r="G903" s="917"/>
      <c r="H903" s="918">
        <f>+G903/F903</f>
        <v>0</v>
      </c>
      <c r="I903" s="919">
        <f t="shared" ref="I903:J934" si="105">+C903+F903</f>
        <v>2</v>
      </c>
      <c r="J903" s="919">
        <f>+D903+G903</f>
        <v>0</v>
      </c>
      <c r="K903" s="920">
        <f>+J903/I903</f>
        <v>0</v>
      </c>
    </row>
    <row r="904" spans="1:11" ht="24.95" customHeight="1">
      <c r="A904" s="921" t="s">
        <v>3339</v>
      </c>
      <c r="B904" s="916" t="s">
        <v>3340</v>
      </c>
      <c r="C904" s="917"/>
      <c r="D904" s="917"/>
      <c r="E904" s="918" t="e">
        <f t="shared" ref="E904:E967" si="106">+D904/C904</f>
        <v>#DIV/0!</v>
      </c>
      <c r="F904" s="917">
        <v>1</v>
      </c>
      <c r="G904" s="917"/>
      <c r="H904" s="918">
        <f t="shared" ref="H904:H967" si="107">+G904/F904</f>
        <v>0</v>
      </c>
      <c r="I904" s="919">
        <f t="shared" si="105"/>
        <v>1</v>
      </c>
      <c r="J904" s="919">
        <f t="shared" si="105"/>
        <v>0</v>
      </c>
      <c r="K904" s="920">
        <f t="shared" ref="K904:K967" si="108">+J904/I904</f>
        <v>0</v>
      </c>
    </row>
    <row r="905" spans="1:11" ht="24.95" customHeight="1">
      <c r="A905" s="921" t="s">
        <v>3341</v>
      </c>
      <c r="B905" s="916" t="s">
        <v>3342</v>
      </c>
      <c r="C905" s="917">
        <v>5</v>
      </c>
      <c r="D905" s="917">
        <v>7</v>
      </c>
      <c r="E905" s="918">
        <f t="shared" si="106"/>
        <v>1.4</v>
      </c>
      <c r="F905" s="917">
        <v>85</v>
      </c>
      <c r="G905" s="917">
        <v>25</v>
      </c>
      <c r="H905" s="918">
        <f t="shared" si="107"/>
        <v>0.29411764705882354</v>
      </c>
      <c r="I905" s="919">
        <f t="shared" si="105"/>
        <v>90</v>
      </c>
      <c r="J905" s="919">
        <f t="shared" si="105"/>
        <v>32</v>
      </c>
      <c r="K905" s="920">
        <f t="shared" si="108"/>
        <v>0.35555555555555557</v>
      </c>
    </row>
    <row r="906" spans="1:11" ht="24.95" customHeight="1">
      <c r="A906" s="925" t="s">
        <v>3343</v>
      </c>
      <c r="B906" s="916" t="s">
        <v>3344</v>
      </c>
      <c r="C906" s="917">
        <v>2</v>
      </c>
      <c r="D906" s="917">
        <v>1</v>
      </c>
      <c r="E906" s="918">
        <f t="shared" si="106"/>
        <v>0.5</v>
      </c>
      <c r="F906" s="917">
        <v>55</v>
      </c>
      <c r="G906" s="917">
        <v>26</v>
      </c>
      <c r="H906" s="918">
        <f t="shared" si="107"/>
        <v>0.47272727272727272</v>
      </c>
      <c r="I906" s="919">
        <f t="shared" si="105"/>
        <v>57</v>
      </c>
      <c r="J906" s="919">
        <f t="shared" si="105"/>
        <v>27</v>
      </c>
      <c r="K906" s="920">
        <f t="shared" si="108"/>
        <v>0.47368421052631576</v>
      </c>
    </row>
    <row r="907" spans="1:11" ht="24.95" customHeight="1">
      <c r="A907" s="921" t="s">
        <v>3345</v>
      </c>
      <c r="B907" s="916" t="s">
        <v>3346</v>
      </c>
      <c r="C907" s="917">
        <v>2</v>
      </c>
      <c r="D907" s="917"/>
      <c r="E907" s="918">
        <f t="shared" si="106"/>
        <v>0</v>
      </c>
      <c r="F907" s="917">
        <v>2</v>
      </c>
      <c r="G907" s="917"/>
      <c r="H907" s="918">
        <f t="shared" si="107"/>
        <v>0</v>
      </c>
      <c r="I907" s="919">
        <f t="shared" si="105"/>
        <v>4</v>
      </c>
      <c r="J907" s="919">
        <f t="shared" si="105"/>
        <v>0</v>
      </c>
      <c r="K907" s="920">
        <f t="shared" si="108"/>
        <v>0</v>
      </c>
    </row>
    <row r="908" spans="1:11" ht="24.95" customHeight="1">
      <c r="A908" s="926" t="s">
        <v>3347</v>
      </c>
      <c r="B908" s="922" t="s">
        <v>3348</v>
      </c>
      <c r="C908" s="917">
        <v>3</v>
      </c>
      <c r="D908" s="917"/>
      <c r="E908" s="918">
        <f t="shared" si="106"/>
        <v>0</v>
      </c>
      <c r="F908" s="917">
        <v>10</v>
      </c>
      <c r="G908" s="917">
        <v>1</v>
      </c>
      <c r="H908" s="918">
        <f t="shared" si="107"/>
        <v>0.1</v>
      </c>
      <c r="I908" s="919">
        <f t="shared" si="105"/>
        <v>13</v>
      </c>
      <c r="J908" s="919">
        <f t="shared" si="105"/>
        <v>1</v>
      </c>
      <c r="K908" s="920">
        <f t="shared" si="108"/>
        <v>7.6923076923076927E-2</v>
      </c>
    </row>
    <row r="909" spans="1:11" ht="24.95" customHeight="1">
      <c r="A909" s="926" t="s">
        <v>3349</v>
      </c>
      <c r="B909" s="922" t="s">
        <v>3350</v>
      </c>
      <c r="C909" s="917"/>
      <c r="D909" s="917"/>
      <c r="E909" s="918" t="e">
        <f t="shared" si="106"/>
        <v>#DIV/0!</v>
      </c>
      <c r="F909" s="917">
        <v>4</v>
      </c>
      <c r="G909" s="917"/>
      <c r="H909" s="918">
        <f t="shared" si="107"/>
        <v>0</v>
      </c>
      <c r="I909" s="919">
        <f t="shared" si="105"/>
        <v>4</v>
      </c>
      <c r="J909" s="919">
        <f t="shared" si="105"/>
        <v>0</v>
      </c>
      <c r="K909" s="920">
        <f t="shared" si="108"/>
        <v>0</v>
      </c>
    </row>
    <row r="910" spans="1:11" ht="24.95" customHeight="1">
      <c r="A910" s="926" t="s">
        <v>3351</v>
      </c>
      <c r="B910" s="922" t="s">
        <v>3352</v>
      </c>
      <c r="C910" s="917">
        <v>1</v>
      </c>
      <c r="D910" s="917"/>
      <c r="E910" s="918">
        <f t="shared" si="106"/>
        <v>0</v>
      </c>
      <c r="F910" s="917">
        <v>2</v>
      </c>
      <c r="G910" s="917">
        <v>2</v>
      </c>
      <c r="H910" s="918">
        <f t="shared" si="107"/>
        <v>1</v>
      </c>
      <c r="I910" s="919">
        <f t="shared" si="105"/>
        <v>3</v>
      </c>
      <c r="J910" s="919">
        <f t="shared" si="105"/>
        <v>2</v>
      </c>
      <c r="K910" s="920">
        <f t="shared" si="108"/>
        <v>0.66666666666666663</v>
      </c>
    </row>
    <row r="911" spans="1:11" ht="24.95" customHeight="1">
      <c r="A911" s="921" t="s">
        <v>3353</v>
      </c>
      <c r="B911" s="916" t="s">
        <v>3354</v>
      </c>
      <c r="C911" s="917">
        <v>3</v>
      </c>
      <c r="D911" s="917"/>
      <c r="E911" s="918">
        <f t="shared" si="106"/>
        <v>0</v>
      </c>
      <c r="F911" s="917">
        <v>1</v>
      </c>
      <c r="G911" s="917">
        <v>1</v>
      </c>
      <c r="H911" s="918">
        <f t="shared" si="107"/>
        <v>1</v>
      </c>
      <c r="I911" s="919">
        <f t="shared" si="105"/>
        <v>4</v>
      </c>
      <c r="J911" s="919">
        <f t="shared" si="105"/>
        <v>1</v>
      </c>
      <c r="K911" s="920">
        <f t="shared" si="108"/>
        <v>0.25</v>
      </c>
    </row>
    <row r="912" spans="1:11" ht="24.95" customHeight="1">
      <c r="A912" s="926" t="s">
        <v>3355</v>
      </c>
      <c r="B912" s="922" t="s">
        <v>3356</v>
      </c>
      <c r="C912" s="917">
        <v>15</v>
      </c>
      <c r="D912" s="917">
        <v>2</v>
      </c>
      <c r="E912" s="918">
        <f t="shared" si="106"/>
        <v>0.13333333333333333</v>
      </c>
      <c r="F912" s="917"/>
      <c r="G912" s="917"/>
      <c r="H912" s="918" t="e">
        <f t="shared" si="107"/>
        <v>#DIV/0!</v>
      </c>
      <c r="I912" s="919">
        <f t="shared" si="105"/>
        <v>15</v>
      </c>
      <c r="J912" s="919">
        <f t="shared" si="105"/>
        <v>2</v>
      </c>
      <c r="K912" s="920">
        <f t="shared" si="108"/>
        <v>0.13333333333333333</v>
      </c>
    </row>
    <row r="913" spans="1:11" ht="24.95" customHeight="1">
      <c r="A913" s="921" t="s">
        <v>3357</v>
      </c>
      <c r="B913" s="922" t="s">
        <v>3358</v>
      </c>
      <c r="C913" s="917">
        <v>86</v>
      </c>
      <c r="D913" s="917">
        <v>32</v>
      </c>
      <c r="E913" s="918">
        <f t="shared" si="106"/>
        <v>0.37209302325581395</v>
      </c>
      <c r="F913" s="917">
        <v>15</v>
      </c>
      <c r="G913" s="917">
        <v>5</v>
      </c>
      <c r="H913" s="918">
        <f t="shared" si="107"/>
        <v>0.33333333333333331</v>
      </c>
      <c r="I913" s="919">
        <f t="shared" si="105"/>
        <v>101</v>
      </c>
      <c r="J913" s="919">
        <f t="shared" si="105"/>
        <v>37</v>
      </c>
      <c r="K913" s="920">
        <f t="shared" si="108"/>
        <v>0.36633663366336633</v>
      </c>
    </row>
    <row r="914" spans="1:11" ht="24.95" customHeight="1">
      <c r="A914" s="926" t="s">
        <v>3359</v>
      </c>
      <c r="B914" s="922" t="s">
        <v>3360</v>
      </c>
      <c r="C914" s="917">
        <v>5</v>
      </c>
      <c r="D914" s="917">
        <v>2</v>
      </c>
      <c r="E914" s="918">
        <f t="shared" si="106"/>
        <v>0.4</v>
      </c>
      <c r="F914" s="917">
        <v>11</v>
      </c>
      <c r="G914" s="917">
        <v>1</v>
      </c>
      <c r="H914" s="918">
        <f t="shared" si="107"/>
        <v>9.0909090909090912E-2</v>
      </c>
      <c r="I914" s="919">
        <f t="shared" si="105"/>
        <v>16</v>
      </c>
      <c r="J914" s="919">
        <f t="shared" si="105"/>
        <v>3</v>
      </c>
      <c r="K914" s="920">
        <f t="shared" si="108"/>
        <v>0.1875</v>
      </c>
    </row>
    <row r="915" spans="1:11" s="711" customFormat="1" ht="24.95" customHeight="1">
      <c r="A915" s="921" t="s">
        <v>3361</v>
      </c>
      <c r="B915" s="922" t="s">
        <v>3362</v>
      </c>
      <c r="C915" s="917">
        <v>10</v>
      </c>
      <c r="D915" s="917"/>
      <c r="E915" s="918">
        <f t="shared" si="106"/>
        <v>0</v>
      </c>
      <c r="F915" s="917">
        <v>80</v>
      </c>
      <c r="G915" s="917"/>
      <c r="H915" s="918">
        <f t="shared" si="107"/>
        <v>0</v>
      </c>
      <c r="I915" s="919">
        <f t="shared" si="105"/>
        <v>90</v>
      </c>
      <c r="J915" s="919">
        <f t="shared" si="105"/>
        <v>0</v>
      </c>
      <c r="K915" s="920">
        <f t="shared" si="108"/>
        <v>0</v>
      </c>
    </row>
    <row r="916" spans="1:11" ht="24.95" customHeight="1">
      <c r="A916" s="925" t="s">
        <v>3363</v>
      </c>
      <c r="B916" s="916" t="s">
        <v>3364</v>
      </c>
      <c r="C916" s="917">
        <v>5</v>
      </c>
      <c r="D916" s="917"/>
      <c r="E916" s="918">
        <f t="shared" si="106"/>
        <v>0</v>
      </c>
      <c r="F916" s="917">
        <v>5</v>
      </c>
      <c r="G916" s="917"/>
      <c r="H916" s="918">
        <f t="shared" si="107"/>
        <v>0</v>
      </c>
      <c r="I916" s="919">
        <f t="shared" si="105"/>
        <v>10</v>
      </c>
      <c r="J916" s="919">
        <f t="shared" si="105"/>
        <v>0</v>
      </c>
      <c r="K916" s="920">
        <f t="shared" si="108"/>
        <v>0</v>
      </c>
    </row>
    <row r="917" spans="1:11" ht="24.95" customHeight="1">
      <c r="A917" s="926" t="s">
        <v>3365</v>
      </c>
      <c r="B917" s="922" t="s">
        <v>3366</v>
      </c>
      <c r="C917" s="917">
        <v>2</v>
      </c>
      <c r="D917" s="917"/>
      <c r="E917" s="918">
        <f t="shared" si="106"/>
        <v>0</v>
      </c>
      <c r="F917" s="917">
        <v>5</v>
      </c>
      <c r="G917" s="917">
        <v>3</v>
      </c>
      <c r="H917" s="918">
        <f t="shared" si="107"/>
        <v>0.6</v>
      </c>
      <c r="I917" s="919">
        <f t="shared" si="105"/>
        <v>7</v>
      </c>
      <c r="J917" s="919">
        <f t="shared" si="105"/>
        <v>3</v>
      </c>
      <c r="K917" s="920">
        <f t="shared" si="108"/>
        <v>0.42857142857142855</v>
      </c>
    </row>
    <row r="918" spans="1:11" ht="24.95" customHeight="1">
      <c r="A918" s="926" t="s">
        <v>3367</v>
      </c>
      <c r="B918" s="922" t="s">
        <v>3368</v>
      </c>
      <c r="C918" s="917"/>
      <c r="D918" s="917"/>
      <c r="E918" s="918" t="e">
        <f t="shared" si="106"/>
        <v>#DIV/0!</v>
      </c>
      <c r="F918" s="917">
        <v>2</v>
      </c>
      <c r="G918" s="917"/>
      <c r="H918" s="918">
        <f t="shared" si="107"/>
        <v>0</v>
      </c>
      <c r="I918" s="919">
        <f t="shared" si="105"/>
        <v>2</v>
      </c>
      <c r="J918" s="919">
        <f t="shared" si="105"/>
        <v>0</v>
      </c>
      <c r="K918" s="920">
        <f t="shared" si="108"/>
        <v>0</v>
      </c>
    </row>
    <row r="919" spans="1:11" ht="24.95" customHeight="1">
      <c r="A919" s="926" t="s">
        <v>3369</v>
      </c>
      <c r="B919" s="922" t="s">
        <v>3370</v>
      </c>
      <c r="C919" s="917"/>
      <c r="D919" s="917"/>
      <c r="E919" s="918" t="e">
        <f t="shared" si="106"/>
        <v>#DIV/0!</v>
      </c>
      <c r="F919" s="917">
        <v>3</v>
      </c>
      <c r="G919" s="917">
        <v>2</v>
      </c>
      <c r="H919" s="918">
        <f t="shared" si="107"/>
        <v>0.66666666666666663</v>
      </c>
      <c r="I919" s="919">
        <f t="shared" si="105"/>
        <v>3</v>
      </c>
      <c r="J919" s="919">
        <f t="shared" si="105"/>
        <v>2</v>
      </c>
      <c r="K919" s="920">
        <f t="shared" si="108"/>
        <v>0.66666666666666663</v>
      </c>
    </row>
    <row r="920" spans="1:11" ht="24.95" customHeight="1">
      <c r="A920" s="926" t="s">
        <v>3371</v>
      </c>
      <c r="B920" s="922" t="s">
        <v>3372</v>
      </c>
      <c r="C920" s="917">
        <v>17</v>
      </c>
      <c r="D920" s="917"/>
      <c r="E920" s="918">
        <f t="shared" si="106"/>
        <v>0</v>
      </c>
      <c r="F920" s="917">
        <v>2</v>
      </c>
      <c r="G920" s="917"/>
      <c r="H920" s="918">
        <f t="shared" si="107"/>
        <v>0</v>
      </c>
      <c r="I920" s="919">
        <f t="shared" si="105"/>
        <v>19</v>
      </c>
      <c r="J920" s="919">
        <f t="shared" si="105"/>
        <v>0</v>
      </c>
      <c r="K920" s="920">
        <f t="shared" si="108"/>
        <v>0</v>
      </c>
    </row>
    <row r="921" spans="1:11" ht="24.95" customHeight="1">
      <c r="A921" s="926" t="s">
        <v>3373</v>
      </c>
      <c r="B921" s="922" t="s">
        <v>3374</v>
      </c>
      <c r="C921" s="917">
        <v>10</v>
      </c>
      <c r="D921" s="917"/>
      <c r="E921" s="918">
        <f t="shared" si="106"/>
        <v>0</v>
      </c>
      <c r="F921" s="917"/>
      <c r="G921" s="917"/>
      <c r="H921" s="918" t="e">
        <f t="shared" si="107"/>
        <v>#DIV/0!</v>
      </c>
      <c r="I921" s="919">
        <f t="shared" si="105"/>
        <v>10</v>
      </c>
      <c r="J921" s="919">
        <f t="shared" si="105"/>
        <v>0</v>
      </c>
      <c r="K921" s="920">
        <f t="shared" si="108"/>
        <v>0</v>
      </c>
    </row>
    <row r="922" spans="1:11" ht="24.95" customHeight="1">
      <c r="A922" s="921" t="s">
        <v>3375</v>
      </c>
      <c r="B922" s="922" t="s">
        <v>3376</v>
      </c>
      <c r="C922" s="917">
        <v>2</v>
      </c>
      <c r="D922" s="917">
        <v>1</v>
      </c>
      <c r="E922" s="918">
        <f t="shared" si="106"/>
        <v>0.5</v>
      </c>
      <c r="F922" s="917">
        <v>5</v>
      </c>
      <c r="G922" s="917"/>
      <c r="H922" s="918">
        <f t="shared" si="107"/>
        <v>0</v>
      </c>
      <c r="I922" s="919">
        <f t="shared" si="105"/>
        <v>7</v>
      </c>
      <c r="J922" s="919">
        <f t="shared" si="105"/>
        <v>1</v>
      </c>
      <c r="K922" s="920">
        <f t="shared" si="108"/>
        <v>0.14285714285714285</v>
      </c>
    </row>
    <row r="923" spans="1:11" ht="24.95" customHeight="1">
      <c r="A923" s="921" t="s">
        <v>3227</v>
      </c>
      <c r="B923" s="922" t="s">
        <v>3228</v>
      </c>
      <c r="C923" s="917">
        <v>0</v>
      </c>
      <c r="D923" s="917"/>
      <c r="E923" s="918" t="e">
        <f t="shared" si="106"/>
        <v>#DIV/0!</v>
      </c>
      <c r="F923" s="917">
        <v>5</v>
      </c>
      <c r="G923" s="917"/>
      <c r="H923" s="918">
        <f t="shared" si="107"/>
        <v>0</v>
      </c>
      <c r="I923" s="919">
        <f t="shared" si="105"/>
        <v>5</v>
      </c>
      <c r="J923" s="919">
        <f t="shared" si="105"/>
        <v>0</v>
      </c>
      <c r="K923" s="920">
        <f t="shared" si="108"/>
        <v>0</v>
      </c>
    </row>
    <row r="924" spans="1:11" ht="24.95" customHeight="1">
      <c r="A924" s="921" t="s">
        <v>3377</v>
      </c>
      <c r="B924" s="922" t="s">
        <v>3378</v>
      </c>
      <c r="C924" s="917">
        <v>5</v>
      </c>
      <c r="D924" s="917"/>
      <c r="E924" s="918">
        <f t="shared" si="106"/>
        <v>0</v>
      </c>
      <c r="F924" s="917">
        <v>2</v>
      </c>
      <c r="G924" s="917"/>
      <c r="H924" s="918">
        <f t="shared" si="107"/>
        <v>0</v>
      </c>
      <c r="I924" s="919">
        <f t="shared" si="105"/>
        <v>7</v>
      </c>
      <c r="J924" s="919">
        <f t="shared" si="105"/>
        <v>0</v>
      </c>
      <c r="K924" s="920">
        <f t="shared" si="108"/>
        <v>0</v>
      </c>
    </row>
    <row r="925" spans="1:11" ht="24.95" customHeight="1">
      <c r="A925" s="921" t="s">
        <v>3379</v>
      </c>
      <c r="B925" s="922" t="s">
        <v>3380</v>
      </c>
      <c r="C925" s="917"/>
      <c r="D925" s="917"/>
      <c r="E925" s="918" t="e">
        <f t="shared" si="106"/>
        <v>#DIV/0!</v>
      </c>
      <c r="F925" s="917">
        <v>2</v>
      </c>
      <c r="G925" s="917"/>
      <c r="H925" s="918">
        <f t="shared" si="107"/>
        <v>0</v>
      </c>
      <c r="I925" s="919">
        <f t="shared" si="105"/>
        <v>2</v>
      </c>
      <c r="J925" s="919">
        <f t="shared" si="105"/>
        <v>0</v>
      </c>
      <c r="K925" s="920">
        <f t="shared" si="108"/>
        <v>0</v>
      </c>
    </row>
    <row r="926" spans="1:11" ht="24.95" customHeight="1">
      <c r="A926" s="921" t="s">
        <v>3381</v>
      </c>
      <c r="B926" s="922" t="s">
        <v>3382</v>
      </c>
      <c r="C926" s="917"/>
      <c r="D926" s="917"/>
      <c r="E926" s="918" t="e">
        <f t="shared" si="106"/>
        <v>#DIV/0!</v>
      </c>
      <c r="F926" s="917">
        <v>2</v>
      </c>
      <c r="G926" s="917"/>
      <c r="H926" s="918">
        <f t="shared" si="107"/>
        <v>0</v>
      </c>
      <c r="I926" s="919">
        <f t="shared" si="105"/>
        <v>2</v>
      </c>
      <c r="J926" s="919">
        <f t="shared" si="105"/>
        <v>0</v>
      </c>
      <c r="K926" s="920">
        <f t="shared" si="108"/>
        <v>0</v>
      </c>
    </row>
    <row r="927" spans="1:11" ht="24.95" customHeight="1">
      <c r="A927" s="921" t="s">
        <v>3383</v>
      </c>
      <c r="B927" s="922" t="s">
        <v>3384</v>
      </c>
      <c r="C927" s="917"/>
      <c r="D927" s="917">
        <v>2</v>
      </c>
      <c r="E927" s="918" t="e">
        <f t="shared" si="106"/>
        <v>#DIV/0!</v>
      </c>
      <c r="F927" s="917">
        <v>5</v>
      </c>
      <c r="G927" s="917">
        <v>1</v>
      </c>
      <c r="H927" s="918">
        <f t="shared" si="107"/>
        <v>0.2</v>
      </c>
      <c r="I927" s="919">
        <f t="shared" si="105"/>
        <v>5</v>
      </c>
      <c r="J927" s="919">
        <f t="shared" si="105"/>
        <v>3</v>
      </c>
      <c r="K927" s="920">
        <f t="shared" si="108"/>
        <v>0.6</v>
      </c>
    </row>
    <row r="928" spans="1:11" ht="24.95" customHeight="1">
      <c r="A928" s="921" t="s">
        <v>3385</v>
      </c>
      <c r="B928" s="922" t="s">
        <v>3386</v>
      </c>
      <c r="C928" s="917"/>
      <c r="D928" s="917"/>
      <c r="E928" s="918" t="e">
        <f t="shared" si="106"/>
        <v>#DIV/0!</v>
      </c>
      <c r="F928" s="917">
        <v>3</v>
      </c>
      <c r="G928" s="917"/>
      <c r="H928" s="918">
        <f t="shared" si="107"/>
        <v>0</v>
      </c>
      <c r="I928" s="919">
        <f t="shared" si="105"/>
        <v>3</v>
      </c>
      <c r="J928" s="919">
        <f t="shared" si="105"/>
        <v>0</v>
      </c>
      <c r="K928" s="920">
        <f t="shared" si="108"/>
        <v>0</v>
      </c>
    </row>
    <row r="929" spans="1:11" ht="24.95" customHeight="1">
      <c r="A929" s="921" t="s">
        <v>3387</v>
      </c>
      <c r="B929" s="922" t="s">
        <v>3388</v>
      </c>
      <c r="C929" s="917"/>
      <c r="D929" s="917"/>
      <c r="E929" s="918" t="e">
        <f t="shared" si="106"/>
        <v>#DIV/0!</v>
      </c>
      <c r="F929" s="917"/>
      <c r="G929" s="917"/>
      <c r="H929" s="918" t="e">
        <f t="shared" si="107"/>
        <v>#DIV/0!</v>
      </c>
      <c r="I929" s="919">
        <f t="shared" si="105"/>
        <v>0</v>
      </c>
      <c r="J929" s="919">
        <f t="shared" si="105"/>
        <v>0</v>
      </c>
      <c r="K929" s="920" t="e">
        <f t="shared" si="108"/>
        <v>#DIV/0!</v>
      </c>
    </row>
    <row r="930" spans="1:11" ht="24.95" customHeight="1">
      <c r="A930" s="921" t="s">
        <v>3389</v>
      </c>
      <c r="B930" s="922" t="s">
        <v>3390</v>
      </c>
      <c r="C930" s="917">
        <v>2</v>
      </c>
      <c r="D930" s="917"/>
      <c r="E930" s="918">
        <f t="shared" si="106"/>
        <v>0</v>
      </c>
      <c r="F930" s="917"/>
      <c r="G930" s="917">
        <v>1</v>
      </c>
      <c r="H930" s="918" t="e">
        <f t="shared" si="107"/>
        <v>#DIV/0!</v>
      </c>
      <c r="I930" s="919">
        <f t="shared" si="105"/>
        <v>2</v>
      </c>
      <c r="J930" s="919">
        <f t="shared" si="105"/>
        <v>1</v>
      </c>
      <c r="K930" s="920">
        <f t="shared" si="108"/>
        <v>0.5</v>
      </c>
    </row>
    <row r="931" spans="1:11" ht="24.95" customHeight="1">
      <c r="A931" s="921" t="s">
        <v>3391</v>
      </c>
      <c r="B931" s="922" t="s">
        <v>3392</v>
      </c>
      <c r="C931" s="917"/>
      <c r="D931" s="917"/>
      <c r="E931" s="918" t="e">
        <f t="shared" si="106"/>
        <v>#DIV/0!</v>
      </c>
      <c r="F931" s="917">
        <v>2</v>
      </c>
      <c r="G931" s="917">
        <v>1</v>
      </c>
      <c r="H931" s="918">
        <f t="shared" si="107"/>
        <v>0.5</v>
      </c>
      <c r="I931" s="919">
        <f t="shared" si="105"/>
        <v>2</v>
      </c>
      <c r="J931" s="919">
        <f t="shared" si="105"/>
        <v>1</v>
      </c>
      <c r="K931" s="920">
        <f t="shared" si="108"/>
        <v>0.5</v>
      </c>
    </row>
    <row r="932" spans="1:11" ht="24.95" customHeight="1">
      <c r="A932" s="921" t="s">
        <v>3065</v>
      </c>
      <c r="B932" s="922" t="s">
        <v>3066</v>
      </c>
      <c r="C932" s="917">
        <v>5</v>
      </c>
      <c r="D932" s="917">
        <v>3</v>
      </c>
      <c r="E932" s="918">
        <f t="shared" si="106"/>
        <v>0.6</v>
      </c>
      <c r="F932" s="917">
        <v>96</v>
      </c>
      <c r="G932" s="917">
        <f>6+29</f>
        <v>35</v>
      </c>
      <c r="H932" s="918">
        <f t="shared" si="107"/>
        <v>0.36458333333333331</v>
      </c>
      <c r="I932" s="919">
        <f t="shared" si="105"/>
        <v>101</v>
      </c>
      <c r="J932" s="919">
        <f t="shared" si="105"/>
        <v>38</v>
      </c>
      <c r="K932" s="920">
        <f t="shared" si="108"/>
        <v>0.37623762376237624</v>
      </c>
    </row>
    <row r="933" spans="1:11" ht="24.95" customHeight="1">
      <c r="A933" s="921" t="s">
        <v>3067</v>
      </c>
      <c r="B933" s="922" t="s">
        <v>3393</v>
      </c>
      <c r="C933" s="917">
        <v>1</v>
      </c>
      <c r="D933" s="917">
        <v>0</v>
      </c>
      <c r="E933" s="918">
        <f t="shared" si="106"/>
        <v>0</v>
      </c>
      <c r="F933" s="917">
        <v>2</v>
      </c>
      <c r="G933" s="917">
        <v>1</v>
      </c>
      <c r="H933" s="918">
        <f t="shared" si="107"/>
        <v>0.5</v>
      </c>
      <c r="I933" s="919">
        <f t="shared" si="105"/>
        <v>3</v>
      </c>
      <c r="J933" s="919">
        <f t="shared" si="105"/>
        <v>1</v>
      </c>
      <c r="K933" s="920">
        <f t="shared" si="108"/>
        <v>0.33333333333333331</v>
      </c>
    </row>
    <row r="934" spans="1:11" ht="24.95" customHeight="1">
      <c r="A934" s="921" t="s">
        <v>3394</v>
      </c>
      <c r="B934" s="922" t="s">
        <v>3395</v>
      </c>
      <c r="C934" s="917">
        <v>2</v>
      </c>
      <c r="D934" s="917"/>
      <c r="E934" s="918">
        <f t="shared" si="106"/>
        <v>0</v>
      </c>
      <c r="F934" s="917">
        <v>8</v>
      </c>
      <c r="G934" s="917">
        <v>2</v>
      </c>
      <c r="H934" s="918">
        <f t="shared" si="107"/>
        <v>0.25</v>
      </c>
      <c r="I934" s="919">
        <f t="shared" si="105"/>
        <v>10</v>
      </c>
      <c r="J934" s="919">
        <f t="shared" si="105"/>
        <v>2</v>
      </c>
      <c r="K934" s="920">
        <f t="shared" si="108"/>
        <v>0.2</v>
      </c>
    </row>
    <row r="935" spans="1:11" ht="24.95" customHeight="1">
      <c r="A935" s="921" t="s">
        <v>3396</v>
      </c>
      <c r="B935" s="922" t="s">
        <v>3397</v>
      </c>
      <c r="C935" s="917"/>
      <c r="D935" s="917"/>
      <c r="E935" s="918" t="e">
        <f t="shared" si="106"/>
        <v>#DIV/0!</v>
      </c>
      <c r="F935" s="917">
        <v>2</v>
      </c>
      <c r="G935" s="917">
        <v>1</v>
      </c>
      <c r="H935" s="918">
        <f t="shared" si="107"/>
        <v>0.5</v>
      </c>
      <c r="I935" s="919">
        <f t="shared" ref="I935:J966" si="109">+C935+F935</f>
        <v>2</v>
      </c>
      <c r="J935" s="919">
        <f t="shared" si="109"/>
        <v>1</v>
      </c>
      <c r="K935" s="920">
        <f t="shared" si="108"/>
        <v>0.5</v>
      </c>
    </row>
    <row r="936" spans="1:11" ht="24.95" customHeight="1">
      <c r="A936" s="921" t="s">
        <v>3398</v>
      </c>
      <c r="B936" s="922" t="s">
        <v>3399</v>
      </c>
      <c r="C936" s="917"/>
      <c r="D936" s="917"/>
      <c r="E936" s="918" t="e">
        <f t="shared" si="106"/>
        <v>#DIV/0!</v>
      </c>
      <c r="F936" s="917">
        <v>2</v>
      </c>
      <c r="G936" s="917"/>
      <c r="H936" s="918">
        <f t="shared" si="107"/>
        <v>0</v>
      </c>
      <c r="I936" s="919">
        <f t="shared" si="109"/>
        <v>2</v>
      </c>
      <c r="J936" s="919">
        <f t="shared" si="109"/>
        <v>0</v>
      </c>
      <c r="K936" s="920">
        <f t="shared" si="108"/>
        <v>0</v>
      </c>
    </row>
    <row r="937" spans="1:11" ht="24.95" customHeight="1">
      <c r="A937" s="921" t="s">
        <v>3400</v>
      </c>
      <c r="B937" s="922" t="s">
        <v>3401</v>
      </c>
      <c r="C937" s="917"/>
      <c r="D937" s="917"/>
      <c r="E937" s="918" t="e">
        <f t="shared" si="106"/>
        <v>#DIV/0!</v>
      </c>
      <c r="F937" s="917">
        <v>5</v>
      </c>
      <c r="G937" s="917">
        <v>1</v>
      </c>
      <c r="H937" s="918">
        <f t="shared" si="107"/>
        <v>0.2</v>
      </c>
      <c r="I937" s="919">
        <f t="shared" si="109"/>
        <v>5</v>
      </c>
      <c r="J937" s="919">
        <f t="shared" si="109"/>
        <v>1</v>
      </c>
      <c r="K937" s="920">
        <f t="shared" si="108"/>
        <v>0.2</v>
      </c>
    </row>
    <row r="938" spans="1:11" ht="24.95" customHeight="1">
      <c r="A938" s="921" t="s">
        <v>3402</v>
      </c>
      <c r="B938" s="922" t="s">
        <v>3403</v>
      </c>
      <c r="C938" s="917"/>
      <c r="D938" s="917"/>
      <c r="E938" s="918" t="e">
        <f t="shared" si="106"/>
        <v>#DIV/0!</v>
      </c>
      <c r="F938" s="917">
        <v>2</v>
      </c>
      <c r="G938" s="917"/>
      <c r="H938" s="918">
        <f t="shared" si="107"/>
        <v>0</v>
      </c>
      <c r="I938" s="919">
        <f t="shared" si="109"/>
        <v>2</v>
      </c>
      <c r="J938" s="919">
        <f t="shared" si="109"/>
        <v>0</v>
      </c>
      <c r="K938" s="920">
        <f t="shared" si="108"/>
        <v>0</v>
      </c>
    </row>
    <row r="939" spans="1:11" ht="24.95" customHeight="1">
      <c r="A939" s="921" t="s">
        <v>3404</v>
      </c>
      <c r="B939" s="922" t="s">
        <v>3405</v>
      </c>
      <c r="C939" s="917"/>
      <c r="D939" s="917"/>
      <c r="E939" s="918" t="e">
        <f t="shared" si="106"/>
        <v>#DIV/0!</v>
      </c>
      <c r="F939" s="917">
        <v>21</v>
      </c>
      <c r="G939" s="917">
        <v>11</v>
      </c>
      <c r="H939" s="918">
        <f t="shared" si="107"/>
        <v>0.52380952380952384</v>
      </c>
      <c r="I939" s="919">
        <f t="shared" si="109"/>
        <v>21</v>
      </c>
      <c r="J939" s="919">
        <f t="shared" si="109"/>
        <v>11</v>
      </c>
      <c r="K939" s="920">
        <f t="shared" si="108"/>
        <v>0.52380952380952384</v>
      </c>
    </row>
    <row r="940" spans="1:11" ht="24.95" customHeight="1">
      <c r="A940" s="921" t="s">
        <v>3406</v>
      </c>
      <c r="B940" s="922" t="s">
        <v>3407</v>
      </c>
      <c r="C940" s="917">
        <v>1</v>
      </c>
      <c r="D940" s="917">
        <v>1</v>
      </c>
      <c r="E940" s="918">
        <f t="shared" si="106"/>
        <v>1</v>
      </c>
      <c r="F940" s="917">
        <v>100</v>
      </c>
      <c r="G940" s="917">
        <v>13</v>
      </c>
      <c r="H940" s="918">
        <f t="shared" si="107"/>
        <v>0.13</v>
      </c>
      <c r="I940" s="919">
        <f t="shared" si="109"/>
        <v>101</v>
      </c>
      <c r="J940" s="919">
        <f t="shared" si="109"/>
        <v>14</v>
      </c>
      <c r="K940" s="920">
        <f t="shared" si="108"/>
        <v>0.13861386138613863</v>
      </c>
    </row>
    <row r="941" spans="1:11" ht="24.95" customHeight="1">
      <c r="A941" s="921" t="s">
        <v>3408</v>
      </c>
      <c r="B941" s="922" t="s">
        <v>3409</v>
      </c>
      <c r="C941" s="917">
        <v>5</v>
      </c>
      <c r="D941" s="917"/>
      <c r="E941" s="918">
        <f t="shared" si="106"/>
        <v>0</v>
      </c>
      <c r="F941" s="917">
        <v>30</v>
      </c>
      <c r="G941" s="917">
        <v>15</v>
      </c>
      <c r="H941" s="918">
        <f t="shared" si="107"/>
        <v>0.5</v>
      </c>
      <c r="I941" s="919">
        <f t="shared" si="109"/>
        <v>35</v>
      </c>
      <c r="J941" s="919">
        <f t="shared" si="109"/>
        <v>15</v>
      </c>
      <c r="K941" s="920">
        <f t="shared" si="108"/>
        <v>0.42857142857142855</v>
      </c>
    </row>
    <row r="942" spans="1:11" ht="24.95" customHeight="1">
      <c r="A942" s="921" t="s">
        <v>3410</v>
      </c>
      <c r="B942" s="922" t="s">
        <v>3411</v>
      </c>
      <c r="C942" s="917">
        <v>2</v>
      </c>
      <c r="D942" s="917"/>
      <c r="E942" s="918">
        <f t="shared" si="106"/>
        <v>0</v>
      </c>
      <c r="F942" s="917">
        <v>30</v>
      </c>
      <c r="G942" s="917">
        <v>8</v>
      </c>
      <c r="H942" s="918">
        <f t="shared" si="107"/>
        <v>0.26666666666666666</v>
      </c>
      <c r="I942" s="919">
        <f t="shared" si="109"/>
        <v>32</v>
      </c>
      <c r="J942" s="919">
        <f t="shared" si="109"/>
        <v>8</v>
      </c>
      <c r="K942" s="920">
        <f t="shared" si="108"/>
        <v>0.25</v>
      </c>
    </row>
    <row r="943" spans="1:11" ht="24.95" customHeight="1">
      <c r="A943" s="921" t="s">
        <v>3412</v>
      </c>
      <c r="B943" s="922" t="s">
        <v>3413</v>
      </c>
      <c r="C943" s="917">
        <v>2</v>
      </c>
      <c r="D943" s="917">
        <v>1</v>
      </c>
      <c r="E943" s="918">
        <f t="shared" si="106"/>
        <v>0.5</v>
      </c>
      <c r="F943" s="917">
        <v>210</v>
      </c>
      <c r="G943" s="917">
        <v>125</v>
      </c>
      <c r="H943" s="918">
        <f t="shared" si="107"/>
        <v>0.59523809523809523</v>
      </c>
      <c r="I943" s="919">
        <f t="shared" si="109"/>
        <v>212</v>
      </c>
      <c r="J943" s="919">
        <f t="shared" si="109"/>
        <v>126</v>
      </c>
      <c r="K943" s="920">
        <f t="shared" si="108"/>
        <v>0.59433962264150941</v>
      </c>
    </row>
    <row r="944" spans="1:11" ht="24.95" customHeight="1">
      <c r="A944" s="921" t="s">
        <v>3414</v>
      </c>
      <c r="B944" s="922" t="s">
        <v>3415</v>
      </c>
      <c r="C944" s="917">
        <v>5</v>
      </c>
      <c r="D944" s="917"/>
      <c r="E944" s="918">
        <f t="shared" si="106"/>
        <v>0</v>
      </c>
      <c r="F944" s="917">
        <v>35</v>
      </c>
      <c r="G944" s="917">
        <v>23</v>
      </c>
      <c r="H944" s="918">
        <f t="shared" si="107"/>
        <v>0.65714285714285714</v>
      </c>
      <c r="I944" s="919">
        <f t="shared" si="109"/>
        <v>40</v>
      </c>
      <c r="J944" s="919">
        <f t="shared" si="109"/>
        <v>23</v>
      </c>
      <c r="K944" s="920">
        <f t="shared" si="108"/>
        <v>0.57499999999999996</v>
      </c>
    </row>
    <row r="945" spans="1:11" ht="24.95" customHeight="1">
      <c r="A945" s="921" t="s">
        <v>3416</v>
      </c>
      <c r="B945" s="922" t="s">
        <v>3417</v>
      </c>
      <c r="C945" s="917"/>
      <c r="D945" s="917"/>
      <c r="E945" s="918" t="e">
        <f t="shared" si="106"/>
        <v>#DIV/0!</v>
      </c>
      <c r="F945" s="917">
        <v>1</v>
      </c>
      <c r="G945" s="917"/>
      <c r="H945" s="918">
        <f t="shared" si="107"/>
        <v>0</v>
      </c>
      <c r="I945" s="919">
        <f t="shared" si="109"/>
        <v>1</v>
      </c>
      <c r="J945" s="919">
        <f t="shared" si="109"/>
        <v>0</v>
      </c>
      <c r="K945" s="920">
        <f t="shared" si="108"/>
        <v>0</v>
      </c>
    </row>
    <row r="946" spans="1:11" ht="24.95" customHeight="1">
      <c r="A946" s="921" t="s">
        <v>3418</v>
      </c>
      <c r="B946" s="922" t="s">
        <v>3419</v>
      </c>
      <c r="C946" s="917"/>
      <c r="D946" s="917"/>
      <c r="E946" s="918" t="e">
        <f t="shared" si="106"/>
        <v>#DIV/0!</v>
      </c>
      <c r="F946" s="917">
        <v>2</v>
      </c>
      <c r="G946" s="917">
        <v>1</v>
      </c>
      <c r="H946" s="918">
        <f t="shared" si="107"/>
        <v>0.5</v>
      </c>
      <c r="I946" s="919">
        <f t="shared" si="109"/>
        <v>2</v>
      </c>
      <c r="J946" s="919">
        <f t="shared" si="109"/>
        <v>1</v>
      </c>
      <c r="K946" s="920">
        <f t="shared" si="108"/>
        <v>0.5</v>
      </c>
    </row>
    <row r="947" spans="1:11" ht="24.95" customHeight="1">
      <c r="A947" s="921" t="s">
        <v>3420</v>
      </c>
      <c r="B947" s="922" t="s">
        <v>3421</v>
      </c>
      <c r="C947" s="917"/>
      <c r="D947" s="917"/>
      <c r="E947" s="918" t="e">
        <f t="shared" si="106"/>
        <v>#DIV/0!</v>
      </c>
      <c r="F947" s="917">
        <v>2</v>
      </c>
      <c r="G947" s="917"/>
      <c r="H947" s="918">
        <f t="shared" si="107"/>
        <v>0</v>
      </c>
      <c r="I947" s="919">
        <f t="shared" si="109"/>
        <v>2</v>
      </c>
      <c r="J947" s="919">
        <f t="shared" si="109"/>
        <v>0</v>
      </c>
      <c r="K947" s="920">
        <f t="shared" si="108"/>
        <v>0</v>
      </c>
    </row>
    <row r="948" spans="1:11" ht="24.95" customHeight="1">
      <c r="A948" s="915" t="s">
        <v>3422</v>
      </c>
      <c r="B948" s="923" t="s">
        <v>3423</v>
      </c>
      <c r="C948" s="917"/>
      <c r="D948" s="917"/>
      <c r="E948" s="918" t="e">
        <f t="shared" si="106"/>
        <v>#DIV/0!</v>
      </c>
      <c r="F948" s="917">
        <v>1</v>
      </c>
      <c r="G948" s="917">
        <v>2</v>
      </c>
      <c r="H948" s="918">
        <f t="shared" si="107"/>
        <v>2</v>
      </c>
      <c r="I948" s="919">
        <f t="shared" si="109"/>
        <v>1</v>
      </c>
      <c r="J948" s="919">
        <f t="shared" si="109"/>
        <v>2</v>
      </c>
      <c r="K948" s="920">
        <f t="shared" si="108"/>
        <v>2</v>
      </c>
    </row>
    <row r="949" spans="1:11" ht="24.95" customHeight="1">
      <c r="A949" s="915" t="s">
        <v>3424</v>
      </c>
      <c r="B949" s="923" t="s">
        <v>3425</v>
      </c>
      <c r="C949" s="917"/>
      <c r="D949" s="917"/>
      <c r="E949" s="918" t="e">
        <f t="shared" si="106"/>
        <v>#DIV/0!</v>
      </c>
      <c r="F949" s="917"/>
      <c r="G949" s="917"/>
      <c r="H949" s="918" t="e">
        <f t="shared" si="107"/>
        <v>#DIV/0!</v>
      </c>
      <c r="I949" s="919">
        <f t="shared" si="109"/>
        <v>0</v>
      </c>
      <c r="J949" s="919">
        <f t="shared" si="109"/>
        <v>0</v>
      </c>
      <c r="K949" s="920" t="e">
        <f t="shared" si="108"/>
        <v>#DIV/0!</v>
      </c>
    </row>
    <row r="950" spans="1:11" ht="24.95" customHeight="1">
      <c r="A950" s="921" t="s">
        <v>3284</v>
      </c>
      <c r="B950" s="922" t="s">
        <v>3285</v>
      </c>
      <c r="C950" s="917"/>
      <c r="D950" s="917"/>
      <c r="E950" s="918" t="e">
        <f t="shared" si="106"/>
        <v>#DIV/0!</v>
      </c>
      <c r="F950" s="917">
        <v>1</v>
      </c>
      <c r="G950" s="917"/>
      <c r="H950" s="918">
        <f t="shared" si="107"/>
        <v>0</v>
      </c>
      <c r="I950" s="919">
        <f t="shared" si="109"/>
        <v>1</v>
      </c>
      <c r="J950" s="919">
        <f t="shared" si="109"/>
        <v>0</v>
      </c>
      <c r="K950" s="920">
        <f t="shared" si="108"/>
        <v>0</v>
      </c>
    </row>
    <row r="951" spans="1:11" ht="24.95" customHeight="1">
      <c r="A951" s="921" t="s">
        <v>3288</v>
      </c>
      <c r="B951" s="922" t="s">
        <v>3426</v>
      </c>
      <c r="C951" s="917"/>
      <c r="D951" s="917"/>
      <c r="E951" s="918" t="e">
        <f t="shared" si="106"/>
        <v>#DIV/0!</v>
      </c>
      <c r="F951" s="917">
        <v>2</v>
      </c>
      <c r="G951" s="917"/>
      <c r="H951" s="918">
        <f t="shared" si="107"/>
        <v>0</v>
      </c>
      <c r="I951" s="919">
        <f t="shared" si="109"/>
        <v>2</v>
      </c>
      <c r="J951" s="919">
        <f t="shared" si="109"/>
        <v>0</v>
      </c>
      <c r="K951" s="920">
        <f t="shared" si="108"/>
        <v>0</v>
      </c>
    </row>
    <row r="952" spans="1:11" ht="24.95" customHeight="1">
      <c r="A952" s="921" t="s">
        <v>3427</v>
      </c>
      <c r="B952" s="922" t="s">
        <v>3428</v>
      </c>
      <c r="C952" s="917"/>
      <c r="D952" s="917"/>
      <c r="E952" s="918" t="e">
        <f t="shared" si="106"/>
        <v>#DIV/0!</v>
      </c>
      <c r="F952" s="917">
        <v>1</v>
      </c>
      <c r="G952" s="917"/>
      <c r="H952" s="918">
        <f t="shared" si="107"/>
        <v>0</v>
      </c>
      <c r="I952" s="919">
        <f t="shared" si="109"/>
        <v>1</v>
      </c>
      <c r="J952" s="919">
        <f t="shared" si="109"/>
        <v>0</v>
      </c>
      <c r="K952" s="920">
        <f t="shared" si="108"/>
        <v>0</v>
      </c>
    </row>
    <row r="953" spans="1:11" ht="24.95" customHeight="1">
      <c r="A953" s="921" t="s">
        <v>3429</v>
      </c>
      <c r="B953" s="922" t="s">
        <v>3430</v>
      </c>
      <c r="C953" s="917">
        <v>2</v>
      </c>
      <c r="D953" s="917"/>
      <c r="E953" s="918">
        <f t="shared" si="106"/>
        <v>0</v>
      </c>
      <c r="F953" s="917">
        <v>4</v>
      </c>
      <c r="G953" s="917">
        <v>4</v>
      </c>
      <c r="H953" s="918">
        <f t="shared" si="107"/>
        <v>1</v>
      </c>
      <c r="I953" s="919">
        <f t="shared" si="109"/>
        <v>6</v>
      </c>
      <c r="J953" s="919">
        <f t="shared" si="109"/>
        <v>4</v>
      </c>
      <c r="K953" s="920">
        <f t="shared" si="108"/>
        <v>0.66666666666666663</v>
      </c>
    </row>
    <row r="954" spans="1:11" ht="24.95" customHeight="1">
      <c r="A954" s="921" t="s">
        <v>3431</v>
      </c>
      <c r="B954" s="922" t="s">
        <v>3432</v>
      </c>
      <c r="C954" s="917"/>
      <c r="D954" s="917"/>
      <c r="E954" s="918" t="e">
        <f t="shared" si="106"/>
        <v>#DIV/0!</v>
      </c>
      <c r="F954" s="917"/>
      <c r="G954" s="917"/>
      <c r="H954" s="918" t="e">
        <f t="shared" si="107"/>
        <v>#DIV/0!</v>
      </c>
      <c r="I954" s="919">
        <f t="shared" si="109"/>
        <v>0</v>
      </c>
      <c r="J954" s="919">
        <f t="shared" si="109"/>
        <v>0</v>
      </c>
      <c r="K954" s="920" t="e">
        <f t="shared" si="108"/>
        <v>#DIV/0!</v>
      </c>
    </row>
    <row r="955" spans="1:11" ht="24.95" customHeight="1">
      <c r="A955" s="921" t="s">
        <v>3433</v>
      </c>
      <c r="B955" s="922" t="s">
        <v>3434</v>
      </c>
      <c r="C955" s="917"/>
      <c r="D955" s="917"/>
      <c r="E955" s="918" t="e">
        <f t="shared" si="106"/>
        <v>#DIV/0!</v>
      </c>
      <c r="F955" s="917">
        <v>1</v>
      </c>
      <c r="G955" s="917"/>
      <c r="H955" s="918">
        <f t="shared" si="107"/>
        <v>0</v>
      </c>
      <c r="I955" s="919">
        <f t="shared" si="109"/>
        <v>1</v>
      </c>
      <c r="J955" s="919">
        <f t="shared" si="109"/>
        <v>0</v>
      </c>
      <c r="K955" s="920">
        <f t="shared" si="108"/>
        <v>0</v>
      </c>
    </row>
    <row r="956" spans="1:11" ht="24.95" customHeight="1">
      <c r="A956" s="921" t="s">
        <v>3435</v>
      </c>
      <c r="B956" s="922" t="s">
        <v>3436</v>
      </c>
      <c r="C956" s="917">
        <v>0</v>
      </c>
      <c r="D956" s="917"/>
      <c r="E956" s="918" t="e">
        <f t="shared" si="106"/>
        <v>#DIV/0!</v>
      </c>
      <c r="F956" s="917">
        <v>0</v>
      </c>
      <c r="G956" s="917"/>
      <c r="H956" s="918" t="e">
        <f t="shared" si="107"/>
        <v>#DIV/0!</v>
      </c>
      <c r="I956" s="919">
        <f t="shared" si="109"/>
        <v>0</v>
      </c>
      <c r="J956" s="919">
        <f t="shared" si="109"/>
        <v>0</v>
      </c>
      <c r="K956" s="920" t="e">
        <f t="shared" si="108"/>
        <v>#DIV/0!</v>
      </c>
    </row>
    <row r="957" spans="1:11" ht="24.95" customHeight="1">
      <c r="A957" s="921" t="s">
        <v>3437</v>
      </c>
      <c r="B957" s="922" t="s">
        <v>3438</v>
      </c>
      <c r="C957" s="917">
        <v>0</v>
      </c>
      <c r="D957" s="917"/>
      <c r="E957" s="918" t="e">
        <f t="shared" si="106"/>
        <v>#DIV/0!</v>
      </c>
      <c r="F957" s="917">
        <v>0</v>
      </c>
      <c r="G957" s="917"/>
      <c r="H957" s="918" t="e">
        <f t="shared" si="107"/>
        <v>#DIV/0!</v>
      </c>
      <c r="I957" s="919">
        <f t="shared" si="109"/>
        <v>0</v>
      </c>
      <c r="J957" s="919">
        <f t="shared" si="109"/>
        <v>0</v>
      </c>
      <c r="K957" s="920" t="e">
        <f t="shared" si="108"/>
        <v>#DIV/0!</v>
      </c>
    </row>
    <row r="958" spans="1:11" ht="24.95" customHeight="1">
      <c r="A958" s="921" t="s">
        <v>3439</v>
      </c>
      <c r="B958" s="922" t="s">
        <v>3440</v>
      </c>
      <c r="C958" s="917"/>
      <c r="D958" s="917"/>
      <c r="E958" s="918" t="e">
        <f t="shared" si="106"/>
        <v>#DIV/0!</v>
      </c>
      <c r="F958" s="917">
        <v>2</v>
      </c>
      <c r="G958" s="917"/>
      <c r="H958" s="918">
        <f t="shared" si="107"/>
        <v>0</v>
      </c>
      <c r="I958" s="919">
        <f t="shared" si="109"/>
        <v>2</v>
      </c>
      <c r="J958" s="919">
        <f t="shared" si="109"/>
        <v>0</v>
      </c>
      <c r="K958" s="920">
        <f t="shared" si="108"/>
        <v>0</v>
      </c>
    </row>
    <row r="959" spans="1:11" ht="24.95" customHeight="1">
      <c r="A959" s="921" t="s">
        <v>3441</v>
      </c>
      <c r="B959" s="922" t="s">
        <v>3442</v>
      </c>
      <c r="C959" s="917"/>
      <c r="D959" s="917"/>
      <c r="E959" s="918" t="e">
        <f t="shared" si="106"/>
        <v>#DIV/0!</v>
      </c>
      <c r="F959" s="917">
        <v>1</v>
      </c>
      <c r="G959" s="917"/>
      <c r="H959" s="918">
        <f t="shared" si="107"/>
        <v>0</v>
      </c>
      <c r="I959" s="919">
        <f t="shared" si="109"/>
        <v>1</v>
      </c>
      <c r="J959" s="919">
        <f t="shared" si="109"/>
        <v>0</v>
      </c>
      <c r="K959" s="920">
        <f t="shared" si="108"/>
        <v>0</v>
      </c>
    </row>
    <row r="960" spans="1:11" ht="24.95" customHeight="1">
      <c r="A960" s="921" t="s">
        <v>3443</v>
      </c>
      <c r="B960" s="922" t="s">
        <v>3444</v>
      </c>
      <c r="C960" s="917"/>
      <c r="D960" s="917"/>
      <c r="E960" s="918" t="e">
        <f t="shared" si="106"/>
        <v>#DIV/0!</v>
      </c>
      <c r="F960" s="917">
        <v>5</v>
      </c>
      <c r="G960" s="917"/>
      <c r="H960" s="918">
        <f t="shared" si="107"/>
        <v>0</v>
      </c>
      <c r="I960" s="919">
        <f t="shared" si="109"/>
        <v>5</v>
      </c>
      <c r="J960" s="919">
        <f t="shared" si="109"/>
        <v>0</v>
      </c>
      <c r="K960" s="920">
        <f t="shared" si="108"/>
        <v>0</v>
      </c>
    </row>
    <row r="961" spans="1:11" ht="24.95" customHeight="1">
      <c r="A961" s="921" t="s">
        <v>3445</v>
      </c>
      <c r="B961" s="922" t="s">
        <v>3446</v>
      </c>
      <c r="C961" s="917"/>
      <c r="D961" s="917"/>
      <c r="E961" s="918" t="e">
        <f t="shared" si="106"/>
        <v>#DIV/0!</v>
      </c>
      <c r="F961" s="917">
        <v>12</v>
      </c>
      <c r="G961" s="917">
        <v>9</v>
      </c>
      <c r="H961" s="918">
        <f t="shared" si="107"/>
        <v>0.75</v>
      </c>
      <c r="I961" s="919">
        <f t="shared" si="109"/>
        <v>12</v>
      </c>
      <c r="J961" s="919">
        <f t="shared" si="109"/>
        <v>9</v>
      </c>
      <c r="K961" s="920">
        <f t="shared" si="108"/>
        <v>0.75</v>
      </c>
    </row>
    <row r="962" spans="1:11" ht="24.95" customHeight="1">
      <c r="A962" s="921" t="s">
        <v>3447</v>
      </c>
      <c r="B962" s="922" t="s">
        <v>3448</v>
      </c>
      <c r="C962" s="917"/>
      <c r="D962" s="917"/>
      <c r="E962" s="918" t="e">
        <f t="shared" si="106"/>
        <v>#DIV/0!</v>
      </c>
      <c r="F962" s="917">
        <v>2</v>
      </c>
      <c r="G962" s="917">
        <v>1</v>
      </c>
      <c r="H962" s="918">
        <f t="shared" si="107"/>
        <v>0.5</v>
      </c>
      <c r="I962" s="919">
        <f t="shared" si="109"/>
        <v>2</v>
      </c>
      <c r="J962" s="919">
        <f t="shared" si="109"/>
        <v>1</v>
      </c>
      <c r="K962" s="920">
        <f t="shared" si="108"/>
        <v>0.5</v>
      </c>
    </row>
    <row r="963" spans="1:11" ht="24.95" customHeight="1">
      <c r="A963" s="921" t="s">
        <v>3449</v>
      </c>
      <c r="B963" s="922" t="s">
        <v>3450</v>
      </c>
      <c r="C963" s="917"/>
      <c r="D963" s="917"/>
      <c r="E963" s="918" t="e">
        <f t="shared" si="106"/>
        <v>#DIV/0!</v>
      </c>
      <c r="F963" s="917">
        <v>1</v>
      </c>
      <c r="G963" s="917">
        <v>1</v>
      </c>
      <c r="H963" s="918">
        <f t="shared" si="107"/>
        <v>1</v>
      </c>
      <c r="I963" s="919">
        <f t="shared" si="109"/>
        <v>1</v>
      </c>
      <c r="J963" s="919">
        <f t="shared" si="109"/>
        <v>1</v>
      </c>
      <c r="K963" s="920">
        <f t="shared" si="108"/>
        <v>1</v>
      </c>
    </row>
    <row r="964" spans="1:11" ht="24.95" customHeight="1">
      <c r="A964" s="921" t="s">
        <v>3451</v>
      </c>
      <c r="B964" s="922" t="s">
        <v>3452</v>
      </c>
      <c r="C964" s="917">
        <v>2</v>
      </c>
      <c r="D964" s="917"/>
      <c r="E964" s="918">
        <f t="shared" si="106"/>
        <v>0</v>
      </c>
      <c r="F964" s="917">
        <v>12</v>
      </c>
      <c r="G964" s="917">
        <v>6</v>
      </c>
      <c r="H964" s="918">
        <f t="shared" si="107"/>
        <v>0.5</v>
      </c>
      <c r="I964" s="919">
        <f t="shared" si="109"/>
        <v>14</v>
      </c>
      <c r="J964" s="919">
        <f t="shared" si="109"/>
        <v>6</v>
      </c>
      <c r="K964" s="920">
        <f t="shared" si="108"/>
        <v>0.42857142857142855</v>
      </c>
    </row>
    <row r="965" spans="1:11" ht="24.95" customHeight="1">
      <c r="A965" s="921" t="s">
        <v>3453</v>
      </c>
      <c r="B965" s="922" t="s">
        <v>3454</v>
      </c>
      <c r="C965" s="917"/>
      <c r="D965" s="917"/>
      <c r="E965" s="918" t="e">
        <f t="shared" si="106"/>
        <v>#DIV/0!</v>
      </c>
      <c r="F965" s="917"/>
      <c r="G965" s="917"/>
      <c r="H965" s="918" t="e">
        <f t="shared" si="107"/>
        <v>#DIV/0!</v>
      </c>
      <c r="I965" s="919">
        <f t="shared" si="109"/>
        <v>0</v>
      </c>
      <c r="J965" s="919">
        <f t="shared" si="109"/>
        <v>0</v>
      </c>
      <c r="K965" s="920" t="e">
        <f t="shared" si="108"/>
        <v>#DIV/0!</v>
      </c>
    </row>
    <row r="966" spans="1:11" ht="24.95" customHeight="1">
      <c r="A966" s="921" t="s">
        <v>3455</v>
      </c>
      <c r="B966" s="922" t="s">
        <v>3456</v>
      </c>
      <c r="C966" s="917"/>
      <c r="D966" s="917"/>
      <c r="E966" s="918" t="e">
        <f t="shared" si="106"/>
        <v>#DIV/0!</v>
      </c>
      <c r="F966" s="917">
        <v>0</v>
      </c>
      <c r="G966" s="917"/>
      <c r="H966" s="918" t="e">
        <f t="shared" si="107"/>
        <v>#DIV/0!</v>
      </c>
      <c r="I966" s="919">
        <f t="shared" si="109"/>
        <v>0</v>
      </c>
      <c r="J966" s="919">
        <f t="shared" si="109"/>
        <v>0</v>
      </c>
      <c r="K966" s="920" t="e">
        <f t="shared" si="108"/>
        <v>#DIV/0!</v>
      </c>
    </row>
    <row r="967" spans="1:11" ht="24.95" customHeight="1">
      <c r="A967" s="921" t="s">
        <v>3457</v>
      </c>
      <c r="B967" s="922" t="s">
        <v>3458</v>
      </c>
      <c r="C967" s="917"/>
      <c r="D967" s="917"/>
      <c r="E967" s="918" t="e">
        <f t="shared" si="106"/>
        <v>#DIV/0!</v>
      </c>
      <c r="F967" s="917">
        <v>2</v>
      </c>
      <c r="G967" s="917"/>
      <c r="H967" s="918">
        <f t="shared" si="107"/>
        <v>0</v>
      </c>
      <c r="I967" s="919">
        <f t="shared" ref="I967:J990" si="110">+C967+F967</f>
        <v>2</v>
      </c>
      <c r="J967" s="919">
        <f t="shared" si="110"/>
        <v>0</v>
      </c>
      <c r="K967" s="920">
        <f t="shared" si="108"/>
        <v>0</v>
      </c>
    </row>
    <row r="968" spans="1:11" ht="24.95" customHeight="1">
      <c r="A968" s="921" t="s">
        <v>3459</v>
      </c>
      <c r="B968" s="922" t="s">
        <v>3460</v>
      </c>
      <c r="C968" s="917"/>
      <c r="D968" s="917"/>
      <c r="E968" s="918" t="e">
        <f t="shared" ref="E968:E992" si="111">+D968/C968</f>
        <v>#DIV/0!</v>
      </c>
      <c r="F968" s="917">
        <v>1</v>
      </c>
      <c r="G968" s="917"/>
      <c r="H968" s="918">
        <f t="shared" ref="H968:H992" si="112">+G968/F968</f>
        <v>0</v>
      </c>
      <c r="I968" s="919">
        <f t="shared" si="110"/>
        <v>1</v>
      </c>
      <c r="J968" s="919">
        <f t="shared" si="110"/>
        <v>0</v>
      </c>
      <c r="K968" s="920">
        <f t="shared" ref="K968:K992" si="113">+J968/I968</f>
        <v>0</v>
      </c>
    </row>
    <row r="969" spans="1:11" ht="24.95" customHeight="1">
      <c r="A969" s="921" t="s">
        <v>3461</v>
      </c>
      <c r="B969" s="922" t="s">
        <v>3462</v>
      </c>
      <c r="C969" s="917"/>
      <c r="D969" s="917"/>
      <c r="E969" s="918" t="e">
        <f t="shared" si="111"/>
        <v>#DIV/0!</v>
      </c>
      <c r="F969" s="917">
        <v>3</v>
      </c>
      <c r="G969" s="917">
        <v>4</v>
      </c>
      <c r="H969" s="918">
        <f t="shared" si="112"/>
        <v>1.3333333333333333</v>
      </c>
      <c r="I969" s="919">
        <f t="shared" si="110"/>
        <v>3</v>
      </c>
      <c r="J969" s="919">
        <f t="shared" si="110"/>
        <v>4</v>
      </c>
      <c r="K969" s="920">
        <f t="shared" si="113"/>
        <v>1.3333333333333333</v>
      </c>
    </row>
    <row r="970" spans="1:11" ht="24.95" customHeight="1">
      <c r="A970" s="921" t="s">
        <v>3463</v>
      </c>
      <c r="B970" s="922" t="s">
        <v>3464</v>
      </c>
      <c r="C970" s="917">
        <v>1</v>
      </c>
      <c r="D970" s="917"/>
      <c r="E970" s="918">
        <f t="shared" si="111"/>
        <v>0</v>
      </c>
      <c r="F970" s="917">
        <v>1</v>
      </c>
      <c r="G970" s="917">
        <v>3</v>
      </c>
      <c r="H970" s="918">
        <f t="shared" si="112"/>
        <v>3</v>
      </c>
      <c r="I970" s="919">
        <f t="shared" si="110"/>
        <v>2</v>
      </c>
      <c r="J970" s="919">
        <f t="shared" si="110"/>
        <v>3</v>
      </c>
      <c r="K970" s="920">
        <f t="shared" si="113"/>
        <v>1.5</v>
      </c>
    </row>
    <row r="971" spans="1:11" ht="24.95" customHeight="1">
      <c r="A971" s="921" t="s">
        <v>3465</v>
      </c>
      <c r="B971" s="922" t="s">
        <v>3466</v>
      </c>
      <c r="C971" s="917"/>
      <c r="D971" s="917"/>
      <c r="E971" s="918" t="e">
        <f t="shared" si="111"/>
        <v>#DIV/0!</v>
      </c>
      <c r="F971" s="917">
        <v>1</v>
      </c>
      <c r="G971" s="917"/>
      <c r="H971" s="918">
        <f t="shared" si="112"/>
        <v>0</v>
      </c>
      <c r="I971" s="919">
        <f t="shared" si="110"/>
        <v>1</v>
      </c>
      <c r="J971" s="919">
        <f t="shared" si="110"/>
        <v>0</v>
      </c>
      <c r="K971" s="920">
        <f t="shared" si="113"/>
        <v>0</v>
      </c>
    </row>
    <row r="972" spans="1:11" ht="24.95" customHeight="1">
      <c r="A972" s="921" t="s">
        <v>3467</v>
      </c>
      <c r="B972" s="922" t="s">
        <v>3468</v>
      </c>
      <c r="C972" s="917"/>
      <c r="D972" s="917"/>
      <c r="E972" s="918" t="e">
        <f t="shared" si="111"/>
        <v>#DIV/0!</v>
      </c>
      <c r="F972" s="917">
        <v>5</v>
      </c>
      <c r="G972" s="917"/>
      <c r="H972" s="918">
        <f t="shared" si="112"/>
        <v>0</v>
      </c>
      <c r="I972" s="919">
        <f t="shared" si="110"/>
        <v>5</v>
      </c>
      <c r="J972" s="919">
        <f t="shared" si="110"/>
        <v>0</v>
      </c>
      <c r="K972" s="920">
        <f t="shared" si="113"/>
        <v>0</v>
      </c>
    </row>
    <row r="973" spans="1:11" ht="24.95" customHeight="1">
      <c r="A973" s="921" t="s">
        <v>3469</v>
      </c>
      <c r="B973" s="922" t="s">
        <v>3470</v>
      </c>
      <c r="C973" s="917"/>
      <c r="D973" s="917"/>
      <c r="E973" s="918" t="e">
        <f t="shared" si="111"/>
        <v>#DIV/0!</v>
      </c>
      <c r="F973" s="917">
        <v>2</v>
      </c>
      <c r="G973" s="917">
        <v>1</v>
      </c>
      <c r="H973" s="918">
        <f t="shared" si="112"/>
        <v>0.5</v>
      </c>
      <c r="I973" s="919">
        <f t="shared" si="110"/>
        <v>2</v>
      </c>
      <c r="J973" s="919">
        <f t="shared" si="110"/>
        <v>1</v>
      </c>
      <c r="K973" s="920">
        <f t="shared" si="113"/>
        <v>0.5</v>
      </c>
    </row>
    <row r="974" spans="1:11" ht="24.95" customHeight="1">
      <c r="A974" s="921" t="s">
        <v>3471</v>
      </c>
      <c r="B974" s="922" t="s">
        <v>3472</v>
      </c>
      <c r="C974" s="917"/>
      <c r="D974" s="917"/>
      <c r="E974" s="918" t="e">
        <f t="shared" si="111"/>
        <v>#DIV/0!</v>
      </c>
      <c r="F974" s="917">
        <v>2</v>
      </c>
      <c r="G974" s="917"/>
      <c r="H974" s="918">
        <f t="shared" si="112"/>
        <v>0</v>
      </c>
      <c r="I974" s="919">
        <f t="shared" si="110"/>
        <v>2</v>
      </c>
      <c r="J974" s="919">
        <f t="shared" si="110"/>
        <v>0</v>
      </c>
      <c r="K974" s="920">
        <f t="shared" si="113"/>
        <v>0</v>
      </c>
    </row>
    <row r="975" spans="1:11" ht="24.95" customHeight="1">
      <c r="A975" s="915" t="s">
        <v>3473</v>
      </c>
      <c r="B975" s="916" t="s">
        <v>3474</v>
      </c>
      <c r="C975" s="917"/>
      <c r="D975" s="917"/>
      <c r="E975" s="918" t="e">
        <f t="shared" si="111"/>
        <v>#DIV/0!</v>
      </c>
      <c r="F975" s="917">
        <v>5</v>
      </c>
      <c r="G975" s="917">
        <v>2</v>
      </c>
      <c r="H975" s="918">
        <f t="shared" si="112"/>
        <v>0.4</v>
      </c>
      <c r="I975" s="919">
        <f t="shared" si="110"/>
        <v>5</v>
      </c>
      <c r="J975" s="919">
        <f t="shared" si="110"/>
        <v>2</v>
      </c>
      <c r="K975" s="920">
        <f t="shared" si="113"/>
        <v>0.4</v>
      </c>
    </row>
    <row r="976" spans="1:11" ht="24.95" customHeight="1">
      <c r="A976" s="915" t="s">
        <v>3475</v>
      </c>
      <c r="B976" s="916" t="s">
        <v>3476</v>
      </c>
      <c r="C976" s="917"/>
      <c r="D976" s="917"/>
      <c r="E976" s="918" t="e">
        <f t="shared" si="111"/>
        <v>#DIV/0!</v>
      </c>
      <c r="F976" s="917">
        <v>2</v>
      </c>
      <c r="G976" s="917"/>
      <c r="H976" s="918">
        <f t="shared" si="112"/>
        <v>0</v>
      </c>
      <c r="I976" s="919">
        <f t="shared" si="110"/>
        <v>2</v>
      </c>
      <c r="J976" s="919">
        <f t="shared" si="110"/>
        <v>0</v>
      </c>
      <c r="K976" s="920">
        <f t="shared" si="113"/>
        <v>0</v>
      </c>
    </row>
    <row r="977" spans="1:11" ht="24.95" customHeight="1">
      <c r="A977" s="915" t="s">
        <v>3477</v>
      </c>
      <c r="B977" s="916" t="s">
        <v>3478</v>
      </c>
      <c r="C977" s="917"/>
      <c r="D977" s="917"/>
      <c r="E977" s="918" t="e">
        <f t="shared" si="111"/>
        <v>#DIV/0!</v>
      </c>
      <c r="F977" s="917">
        <v>0</v>
      </c>
      <c r="G977" s="917"/>
      <c r="H977" s="918" t="e">
        <f t="shared" si="112"/>
        <v>#DIV/0!</v>
      </c>
      <c r="I977" s="919">
        <f t="shared" si="110"/>
        <v>0</v>
      </c>
      <c r="J977" s="919">
        <f t="shared" si="110"/>
        <v>0</v>
      </c>
      <c r="K977" s="920" t="e">
        <f t="shared" si="113"/>
        <v>#DIV/0!</v>
      </c>
    </row>
    <row r="978" spans="1:11" ht="24.95" customHeight="1">
      <c r="A978" s="921" t="s">
        <v>3479</v>
      </c>
      <c r="B978" s="922" t="s">
        <v>3480</v>
      </c>
      <c r="C978" s="917"/>
      <c r="D978" s="917"/>
      <c r="E978" s="918" t="e">
        <f t="shared" si="111"/>
        <v>#DIV/0!</v>
      </c>
      <c r="F978" s="917">
        <v>2</v>
      </c>
      <c r="G978" s="917"/>
      <c r="H978" s="918">
        <f t="shared" si="112"/>
        <v>0</v>
      </c>
      <c r="I978" s="919">
        <f t="shared" si="110"/>
        <v>2</v>
      </c>
      <c r="J978" s="919">
        <f t="shared" si="110"/>
        <v>0</v>
      </c>
      <c r="K978" s="920">
        <f t="shared" si="113"/>
        <v>0</v>
      </c>
    </row>
    <row r="979" spans="1:11" ht="24.95" customHeight="1">
      <c r="A979" s="921" t="s">
        <v>3481</v>
      </c>
      <c r="B979" s="922" t="s">
        <v>3482</v>
      </c>
      <c r="C979" s="917"/>
      <c r="D979" s="917"/>
      <c r="E979" s="918" t="e">
        <f t="shared" si="111"/>
        <v>#DIV/0!</v>
      </c>
      <c r="F979" s="917">
        <v>1</v>
      </c>
      <c r="G979" s="917"/>
      <c r="H979" s="918">
        <f t="shared" si="112"/>
        <v>0</v>
      </c>
      <c r="I979" s="919">
        <f t="shared" si="110"/>
        <v>1</v>
      </c>
      <c r="J979" s="919">
        <f t="shared" si="110"/>
        <v>0</v>
      </c>
      <c r="K979" s="920">
        <f t="shared" si="113"/>
        <v>0</v>
      </c>
    </row>
    <row r="980" spans="1:11" ht="24.95" customHeight="1">
      <c r="A980" s="915" t="s">
        <v>3483</v>
      </c>
      <c r="B980" s="916" t="s">
        <v>3484</v>
      </c>
      <c r="C980" s="917"/>
      <c r="D980" s="917"/>
      <c r="E980" s="918" t="e">
        <f t="shared" si="111"/>
        <v>#DIV/0!</v>
      </c>
      <c r="F980" s="917">
        <v>2</v>
      </c>
      <c r="G980" s="917">
        <v>2</v>
      </c>
      <c r="H980" s="918">
        <f t="shared" si="112"/>
        <v>1</v>
      </c>
      <c r="I980" s="919">
        <f t="shared" si="110"/>
        <v>2</v>
      </c>
      <c r="J980" s="919">
        <f t="shared" si="110"/>
        <v>2</v>
      </c>
      <c r="K980" s="920">
        <f t="shared" si="113"/>
        <v>1</v>
      </c>
    </row>
    <row r="981" spans="1:11" ht="24.95" customHeight="1">
      <c r="A981" s="921" t="s">
        <v>3485</v>
      </c>
      <c r="B981" s="922" t="s">
        <v>3486</v>
      </c>
      <c r="C981" s="917"/>
      <c r="D981" s="917"/>
      <c r="E981" s="918" t="e">
        <f t="shared" si="111"/>
        <v>#DIV/0!</v>
      </c>
      <c r="F981" s="917">
        <v>0</v>
      </c>
      <c r="G981" s="917"/>
      <c r="H981" s="918" t="e">
        <f t="shared" si="112"/>
        <v>#DIV/0!</v>
      </c>
      <c r="I981" s="919">
        <f t="shared" si="110"/>
        <v>0</v>
      </c>
      <c r="J981" s="919">
        <f t="shared" si="110"/>
        <v>0</v>
      </c>
      <c r="K981" s="920" t="e">
        <f t="shared" si="113"/>
        <v>#DIV/0!</v>
      </c>
    </row>
    <row r="982" spans="1:11" ht="24.95" customHeight="1">
      <c r="A982" s="921" t="s">
        <v>3487</v>
      </c>
      <c r="B982" s="916" t="s">
        <v>3488</v>
      </c>
      <c r="C982" s="917"/>
      <c r="D982" s="917"/>
      <c r="E982" s="918" t="e">
        <f t="shared" si="111"/>
        <v>#DIV/0!</v>
      </c>
      <c r="F982" s="917">
        <v>5</v>
      </c>
      <c r="G982" s="917">
        <v>1</v>
      </c>
      <c r="H982" s="918">
        <f t="shared" si="112"/>
        <v>0.2</v>
      </c>
      <c r="I982" s="919">
        <f t="shared" si="110"/>
        <v>5</v>
      </c>
      <c r="J982" s="919">
        <f t="shared" si="110"/>
        <v>1</v>
      </c>
      <c r="K982" s="920">
        <f t="shared" si="113"/>
        <v>0.2</v>
      </c>
    </row>
    <row r="983" spans="1:11" ht="24.95" customHeight="1">
      <c r="A983" s="921" t="s">
        <v>3489</v>
      </c>
      <c r="B983" s="916" t="s">
        <v>3490</v>
      </c>
      <c r="C983" s="917"/>
      <c r="D983" s="917"/>
      <c r="E983" s="918" t="e">
        <f t="shared" si="111"/>
        <v>#DIV/0!</v>
      </c>
      <c r="F983" s="917">
        <v>2</v>
      </c>
      <c r="G983" s="917">
        <v>1</v>
      </c>
      <c r="H983" s="918">
        <f t="shared" si="112"/>
        <v>0.5</v>
      </c>
      <c r="I983" s="919">
        <f t="shared" si="110"/>
        <v>2</v>
      </c>
      <c r="J983" s="919">
        <f t="shared" si="110"/>
        <v>1</v>
      </c>
      <c r="K983" s="920">
        <f t="shared" si="113"/>
        <v>0.5</v>
      </c>
    </row>
    <row r="984" spans="1:11" ht="24.95" customHeight="1">
      <c r="A984" s="927" t="s">
        <v>3491</v>
      </c>
      <c r="B984" s="928" t="s">
        <v>3492</v>
      </c>
      <c r="C984" s="929"/>
      <c r="D984" s="929"/>
      <c r="E984" s="918" t="e">
        <f t="shared" si="111"/>
        <v>#DIV/0!</v>
      </c>
      <c r="F984" s="930">
        <v>1</v>
      </c>
      <c r="G984" s="930"/>
      <c r="H984" s="918">
        <f t="shared" si="112"/>
        <v>0</v>
      </c>
      <c r="I984" s="919">
        <f t="shared" si="110"/>
        <v>1</v>
      </c>
      <c r="J984" s="919">
        <f t="shared" si="110"/>
        <v>0</v>
      </c>
      <c r="K984" s="920">
        <f t="shared" si="113"/>
        <v>0</v>
      </c>
    </row>
    <row r="985" spans="1:11" ht="24.95" customHeight="1">
      <c r="A985" s="927" t="s">
        <v>3493</v>
      </c>
      <c r="B985" s="928" t="s">
        <v>3494</v>
      </c>
      <c r="C985" s="929"/>
      <c r="D985" s="929"/>
      <c r="E985" s="918" t="e">
        <f t="shared" si="111"/>
        <v>#DIV/0!</v>
      </c>
      <c r="F985" s="930">
        <v>1</v>
      </c>
      <c r="G985" s="930"/>
      <c r="H985" s="918">
        <f t="shared" si="112"/>
        <v>0</v>
      </c>
      <c r="I985" s="919">
        <f t="shared" si="110"/>
        <v>1</v>
      </c>
      <c r="J985" s="919">
        <f t="shared" si="110"/>
        <v>0</v>
      </c>
      <c r="K985" s="920">
        <f t="shared" si="113"/>
        <v>0</v>
      </c>
    </row>
    <row r="986" spans="1:11" ht="24.95" customHeight="1">
      <c r="A986" s="927" t="s">
        <v>3495</v>
      </c>
      <c r="B986" s="928" t="s">
        <v>3496</v>
      </c>
      <c r="C986" s="929"/>
      <c r="D986" s="929"/>
      <c r="E986" s="918" t="e">
        <f t="shared" si="111"/>
        <v>#DIV/0!</v>
      </c>
      <c r="F986" s="930">
        <v>3</v>
      </c>
      <c r="G986" s="930"/>
      <c r="H986" s="918">
        <f t="shared" si="112"/>
        <v>0</v>
      </c>
      <c r="I986" s="919">
        <f t="shared" si="110"/>
        <v>3</v>
      </c>
      <c r="J986" s="919">
        <f t="shared" si="110"/>
        <v>0</v>
      </c>
      <c r="K986" s="920">
        <f t="shared" si="113"/>
        <v>0</v>
      </c>
    </row>
    <row r="987" spans="1:11" ht="24.95" customHeight="1">
      <c r="A987" s="927" t="s">
        <v>3497</v>
      </c>
      <c r="B987" s="928" t="s">
        <v>3496</v>
      </c>
      <c r="C987" s="929"/>
      <c r="D987" s="929"/>
      <c r="E987" s="918" t="e">
        <f t="shared" si="111"/>
        <v>#DIV/0!</v>
      </c>
      <c r="F987" s="930">
        <v>1</v>
      </c>
      <c r="G987" s="930"/>
      <c r="H987" s="918">
        <f t="shared" si="112"/>
        <v>0</v>
      </c>
      <c r="I987" s="919">
        <f t="shared" si="110"/>
        <v>1</v>
      </c>
      <c r="J987" s="919">
        <f t="shared" si="110"/>
        <v>0</v>
      </c>
      <c r="K987" s="920">
        <f t="shared" si="113"/>
        <v>0</v>
      </c>
    </row>
    <row r="988" spans="1:11" ht="24.95" customHeight="1">
      <c r="A988" s="927" t="s">
        <v>3498</v>
      </c>
      <c r="B988" s="928" t="s">
        <v>3499</v>
      </c>
      <c r="C988" s="929"/>
      <c r="D988" s="929"/>
      <c r="E988" s="918" t="e">
        <f t="shared" si="111"/>
        <v>#DIV/0!</v>
      </c>
      <c r="F988" s="930">
        <v>1</v>
      </c>
      <c r="G988" s="930">
        <v>1</v>
      </c>
      <c r="H988" s="918">
        <f t="shared" si="112"/>
        <v>1</v>
      </c>
      <c r="I988" s="919">
        <f t="shared" si="110"/>
        <v>1</v>
      </c>
      <c r="J988" s="919">
        <f t="shared" si="110"/>
        <v>1</v>
      </c>
      <c r="K988" s="920">
        <f t="shared" si="113"/>
        <v>1</v>
      </c>
    </row>
    <row r="989" spans="1:11" ht="24.95" customHeight="1">
      <c r="A989" s="927" t="s">
        <v>3500</v>
      </c>
      <c r="B989" s="928" t="s">
        <v>3501</v>
      </c>
      <c r="C989" s="929"/>
      <c r="D989" s="929"/>
      <c r="E989" s="918" t="e">
        <f t="shared" si="111"/>
        <v>#DIV/0!</v>
      </c>
      <c r="F989" s="930">
        <v>5</v>
      </c>
      <c r="G989" s="930"/>
      <c r="H989" s="918">
        <f t="shared" si="112"/>
        <v>0</v>
      </c>
      <c r="I989" s="919">
        <f t="shared" si="110"/>
        <v>5</v>
      </c>
      <c r="J989" s="919">
        <f t="shared" si="110"/>
        <v>0</v>
      </c>
      <c r="K989" s="920">
        <f t="shared" si="113"/>
        <v>0</v>
      </c>
    </row>
    <row r="990" spans="1:11" ht="24.95" customHeight="1">
      <c r="A990" s="921" t="s">
        <v>2548</v>
      </c>
      <c r="B990" s="922" t="s">
        <v>2549</v>
      </c>
      <c r="C990" s="917">
        <v>5</v>
      </c>
      <c r="D990" s="917"/>
      <c r="E990" s="918">
        <f t="shared" si="111"/>
        <v>0</v>
      </c>
      <c r="F990" s="917">
        <v>1</v>
      </c>
      <c r="G990" s="917"/>
      <c r="H990" s="918">
        <f t="shared" si="112"/>
        <v>0</v>
      </c>
      <c r="I990" s="931">
        <f t="shared" si="110"/>
        <v>6</v>
      </c>
      <c r="J990" s="919">
        <f t="shared" si="110"/>
        <v>0</v>
      </c>
      <c r="K990" s="920">
        <f t="shared" si="113"/>
        <v>0</v>
      </c>
    </row>
    <row r="991" spans="1:11" ht="24.95" customHeight="1">
      <c r="A991" s="921"/>
      <c r="B991" s="932" t="s">
        <v>2</v>
      </c>
      <c r="C991" s="933">
        <f>SUM(C903:C990)</f>
        <v>208</v>
      </c>
      <c r="D991" s="933">
        <f>SUM(D903:D990)</f>
        <v>52</v>
      </c>
      <c r="E991" s="918">
        <f t="shared" si="111"/>
        <v>0.25</v>
      </c>
      <c r="F991" s="933">
        <f>SUM(F903:F990)</f>
        <v>953</v>
      </c>
      <c r="G991" s="933">
        <f>SUM(G903:G990)</f>
        <v>343</v>
      </c>
      <c r="H991" s="918">
        <f t="shared" si="112"/>
        <v>0.35991605456453307</v>
      </c>
      <c r="I991" s="933">
        <f>SUM(I903:I990)</f>
        <v>1161</v>
      </c>
      <c r="J991" s="933">
        <f>SUM(J903:J990)</f>
        <v>395</v>
      </c>
      <c r="K991" s="920">
        <f t="shared" si="113"/>
        <v>0.34022394487510765</v>
      </c>
    </row>
    <row r="992" spans="1:11" ht="24.95" customHeight="1">
      <c r="A992" s="934"/>
      <c r="B992" s="935" t="s">
        <v>2786</v>
      </c>
      <c r="C992" s="933">
        <f>+C901+C991</f>
        <v>252</v>
      </c>
      <c r="D992" s="933">
        <f>+D901+D991</f>
        <v>97</v>
      </c>
      <c r="E992" s="918">
        <f t="shared" si="111"/>
        <v>0.38492063492063494</v>
      </c>
      <c r="F992" s="933">
        <f>+F901+F991</f>
        <v>1695</v>
      </c>
      <c r="G992" s="933">
        <f>+G901+G991</f>
        <v>705</v>
      </c>
      <c r="H992" s="918">
        <f t="shared" si="112"/>
        <v>0.41592920353982299</v>
      </c>
      <c r="I992" s="933">
        <f>+I901+I991</f>
        <v>1947</v>
      </c>
      <c r="J992" s="933">
        <f>+J901+J991</f>
        <v>802</v>
      </c>
      <c r="K992" s="920">
        <f t="shared" si="113"/>
        <v>0.41191576784797124</v>
      </c>
    </row>
    <row r="993" spans="1:11" ht="24.95" customHeight="1">
      <c r="A993" s="913"/>
      <c r="B993" s="936" t="s">
        <v>2372</v>
      </c>
      <c r="C993" s="1998"/>
      <c r="D993" s="1999"/>
      <c r="E993" s="1999"/>
      <c r="F993" s="1999"/>
      <c r="G993" s="1999"/>
      <c r="H993" s="1999"/>
      <c r="I993" s="1999"/>
      <c r="J993" s="1999"/>
      <c r="K993" s="2000"/>
    </row>
    <row r="994" spans="1:11" ht="24.95" customHeight="1">
      <c r="A994" s="925" t="s">
        <v>3353</v>
      </c>
      <c r="B994" s="916" t="s">
        <v>3502</v>
      </c>
      <c r="C994" s="917">
        <v>2</v>
      </c>
      <c r="D994" s="917"/>
      <c r="E994" s="918">
        <f>+D994/C994</f>
        <v>0</v>
      </c>
      <c r="F994" s="917"/>
      <c r="G994" s="917"/>
      <c r="H994" s="918" t="e">
        <f>+G994/F994</f>
        <v>#DIV/0!</v>
      </c>
      <c r="I994" s="919">
        <f t="shared" ref="I994:J1025" si="114">+C994+F994</f>
        <v>2</v>
      </c>
      <c r="J994" s="919">
        <f>+D994+G994</f>
        <v>0</v>
      </c>
      <c r="K994" s="920">
        <f>+J994/I994</f>
        <v>0</v>
      </c>
    </row>
    <row r="995" spans="1:11" ht="24.95" customHeight="1">
      <c r="A995" s="925" t="s">
        <v>3503</v>
      </c>
      <c r="B995" s="916" t="s">
        <v>3504</v>
      </c>
      <c r="C995" s="917">
        <v>0</v>
      </c>
      <c r="D995" s="917">
        <v>1</v>
      </c>
      <c r="E995" s="918" t="e">
        <f t="shared" ref="E995:E1058" si="115">+D995/C995</f>
        <v>#DIV/0!</v>
      </c>
      <c r="F995" s="917">
        <v>10</v>
      </c>
      <c r="G995" s="917">
        <v>3</v>
      </c>
      <c r="H995" s="918">
        <f t="shared" ref="H995:H1058" si="116">+G995/F995</f>
        <v>0.3</v>
      </c>
      <c r="I995" s="919">
        <f t="shared" si="114"/>
        <v>10</v>
      </c>
      <c r="J995" s="919">
        <f t="shared" si="114"/>
        <v>4</v>
      </c>
      <c r="K995" s="920">
        <f t="shared" ref="K995:K1058" si="117">+J995/I995</f>
        <v>0.4</v>
      </c>
    </row>
    <row r="996" spans="1:11" ht="24.95" customHeight="1">
      <c r="A996" s="926" t="s">
        <v>3505</v>
      </c>
      <c r="B996" s="922" t="s">
        <v>3506</v>
      </c>
      <c r="C996" s="917">
        <v>5</v>
      </c>
      <c r="D996" s="917"/>
      <c r="E996" s="918">
        <f t="shared" si="115"/>
        <v>0</v>
      </c>
      <c r="F996" s="917">
        <v>5</v>
      </c>
      <c r="G996" s="917"/>
      <c r="H996" s="918">
        <f t="shared" si="116"/>
        <v>0</v>
      </c>
      <c r="I996" s="919">
        <f t="shared" si="114"/>
        <v>10</v>
      </c>
      <c r="J996" s="919">
        <f t="shared" si="114"/>
        <v>0</v>
      </c>
      <c r="K996" s="920">
        <f t="shared" si="117"/>
        <v>0</v>
      </c>
    </row>
    <row r="997" spans="1:11" ht="24.95" customHeight="1">
      <c r="A997" s="921" t="s">
        <v>3507</v>
      </c>
      <c r="B997" s="922" t="s">
        <v>3508</v>
      </c>
      <c r="C997" s="917">
        <v>1</v>
      </c>
      <c r="D997" s="917"/>
      <c r="E997" s="918">
        <f t="shared" si="115"/>
        <v>0</v>
      </c>
      <c r="F997" s="917">
        <v>2</v>
      </c>
      <c r="G997" s="917"/>
      <c r="H997" s="918">
        <f t="shared" si="116"/>
        <v>0</v>
      </c>
      <c r="I997" s="919">
        <f t="shared" si="114"/>
        <v>3</v>
      </c>
      <c r="J997" s="919">
        <f t="shared" si="114"/>
        <v>0</v>
      </c>
      <c r="K997" s="920">
        <f t="shared" si="117"/>
        <v>0</v>
      </c>
    </row>
    <row r="998" spans="1:11" ht="24.95" customHeight="1">
      <c r="A998" s="921" t="s">
        <v>3509</v>
      </c>
      <c r="B998" s="922" t="s">
        <v>3510</v>
      </c>
      <c r="C998" s="917">
        <v>3</v>
      </c>
      <c r="D998" s="917">
        <v>3</v>
      </c>
      <c r="E998" s="918">
        <f t="shared" si="115"/>
        <v>1</v>
      </c>
      <c r="F998" s="917">
        <v>1</v>
      </c>
      <c r="G998" s="917"/>
      <c r="H998" s="918">
        <f t="shared" si="116"/>
        <v>0</v>
      </c>
      <c r="I998" s="919">
        <f t="shared" si="114"/>
        <v>4</v>
      </c>
      <c r="J998" s="919">
        <f t="shared" si="114"/>
        <v>3</v>
      </c>
      <c r="K998" s="920">
        <f t="shared" si="117"/>
        <v>0.75</v>
      </c>
    </row>
    <row r="999" spans="1:11" ht="24.95" customHeight="1">
      <c r="A999" s="921" t="s">
        <v>3511</v>
      </c>
      <c r="B999" s="922" t="s">
        <v>3512</v>
      </c>
      <c r="C999" s="917">
        <v>5</v>
      </c>
      <c r="D999" s="917">
        <v>2</v>
      </c>
      <c r="E999" s="918">
        <f t="shared" si="115"/>
        <v>0.4</v>
      </c>
      <c r="F999" s="917"/>
      <c r="G999" s="917"/>
      <c r="H999" s="918" t="e">
        <f t="shared" si="116"/>
        <v>#DIV/0!</v>
      </c>
      <c r="I999" s="919">
        <f t="shared" si="114"/>
        <v>5</v>
      </c>
      <c r="J999" s="919">
        <f t="shared" si="114"/>
        <v>2</v>
      </c>
      <c r="K999" s="920">
        <f t="shared" si="117"/>
        <v>0.4</v>
      </c>
    </row>
    <row r="1000" spans="1:11" ht="24.95" customHeight="1">
      <c r="A1000" s="921" t="s">
        <v>3513</v>
      </c>
      <c r="B1000" s="922" t="s">
        <v>3514</v>
      </c>
      <c r="C1000" s="917">
        <v>5</v>
      </c>
      <c r="D1000" s="917">
        <v>4</v>
      </c>
      <c r="E1000" s="918">
        <f t="shared" si="115"/>
        <v>0.8</v>
      </c>
      <c r="F1000" s="917">
        <v>300</v>
      </c>
      <c r="G1000" s="917">
        <v>120</v>
      </c>
      <c r="H1000" s="918">
        <f t="shared" si="116"/>
        <v>0.4</v>
      </c>
      <c r="I1000" s="919">
        <f t="shared" si="114"/>
        <v>305</v>
      </c>
      <c r="J1000" s="919">
        <f t="shared" si="114"/>
        <v>124</v>
      </c>
      <c r="K1000" s="920">
        <f t="shared" si="117"/>
        <v>0.40655737704918032</v>
      </c>
    </row>
    <row r="1001" spans="1:11" ht="24.95" customHeight="1">
      <c r="A1001" s="921" t="s">
        <v>3515</v>
      </c>
      <c r="B1001" s="922" t="s">
        <v>3516</v>
      </c>
      <c r="C1001" s="917">
        <v>2</v>
      </c>
      <c r="D1001" s="917"/>
      <c r="E1001" s="918">
        <f t="shared" si="115"/>
        <v>0</v>
      </c>
      <c r="F1001" s="917">
        <v>2</v>
      </c>
      <c r="G1001" s="917"/>
      <c r="H1001" s="918">
        <f t="shared" si="116"/>
        <v>0</v>
      </c>
      <c r="I1001" s="919">
        <f t="shared" si="114"/>
        <v>4</v>
      </c>
      <c r="J1001" s="919">
        <f t="shared" si="114"/>
        <v>0</v>
      </c>
      <c r="K1001" s="920">
        <f t="shared" si="117"/>
        <v>0</v>
      </c>
    </row>
    <row r="1002" spans="1:11" ht="24.95" customHeight="1">
      <c r="A1002" s="925" t="s">
        <v>2373</v>
      </c>
      <c r="B1002" s="916" t="s">
        <v>2374</v>
      </c>
      <c r="C1002" s="917">
        <v>45</v>
      </c>
      <c r="D1002" s="917">
        <v>12</v>
      </c>
      <c r="E1002" s="918">
        <f t="shared" si="115"/>
        <v>0.26666666666666666</v>
      </c>
      <c r="F1002" s="917">
        <v>35</v>
      </c>
      <c r="G1002" s="917">
        <v>13</v>
      </c>
      <c r="H1002" s="918">
        <f t="shared" si="116"/>
        <v>0.37142857142857144</v>
      </c>
      <c r="I1002" s="919">
        <f t="shared" si="114"/>
        <v>80</v>
      </c>
      <c r="J1002" s="919">
        <f t="shared" si="114"/>
        <v>25</v>
      </c>
      <c r="K1002" s="920">
        <f t="shared" si="117"/>
        <v>0.3125</v>
      </c>
    </row>
    <row r="1003" spans="1:11" ht="24.95" customHeight="1">
      <c r="A1003" s="925" t="s">
        <v>3517</v>
      </c>
      <c r="B1003" s="916" t="s">
        <v>3518</v>
      </c>
      <c r="C1003" s="917"/>
      <c r="D1003" s="917"/>
      <c r="E1003" s="918" t="e">
        <f t="shared" si="115"/>
        <v>#DIV/0!</v>
      </c>
      <c r="F1003" s="917">
        <v>1</v>
      </c>
      <c r="G1003" s="917"/>
      <c r="H1003" s="918">
        <f t="shared" si="116"/>
        <v>0</v>
      </c>
      <c r="I1003" s="919">
        <f t="shared" si="114"/>
        <v>1</v>
      </c>
      <c r="J1003" s="919">
        <f t="shared" si="114"/>
        <v>0</v>
      </c>
      <c r="K1003" s="920">
        <f t="shared" si="117"/>
        <v>0</v>
      </c>
    </row>
    <row r="1004" spans="1:11" ht="24.95" customHeight="1">
      <c r="A1004" s="925" t="s">
        <v>3519</v>
      </c>
      <c r="B1004" s="916" t="s">
        <v>3520</v>
      </c>
      <c r="C1004" s="917">
        <v>2</v>
      </c>
      <c r="D1004" s="917"/>
      <c r="E1004" s="918">
        <f t="shared" si="115"/>
        <v>0</v>
      </c>
      <c r="F1004" s="917"/>
      <c r="G1004" s="917"/>
      <c r="H1004" s="918" t="e">
        <f t="shared" si="116"/>
        <v>#DIV/0!</v>
      </c>
      <c r="I1004" s="919">
        <f t="shared" si="114"/>
        <v>2</v>
      </c>
      <c r="J1004" s="919">
        <f t="shared" si="114"/>
        <v>0</v>
      </c>
      <c r="K1004" s="920">
        <f t="shared" si="117"/>
        <v>0</v>
      </c>
    </row>
    <row r="1005" spans="1:11" ht="24.95" customHeight="1">
      <c r="A1005" s="925" t="s">
        <v>3521</v>
      </c>
      <c r="B1005" s="916" t="s">
        <v>3522</v>
      </c>
      <c r="C1005" s="917">
        <v>500</v>
      </c>
      <c r="D1005" s="917">
        <v>485</v>
      </c>
      <c r="E1005" s="918">
        <f t="shared" si="115"/>
        <v>0.97</v>
      </c>
      <c r="F1005" s="917"/>
      <c r="G1005" s="917"/>
      <c r="H1005" s="918" t="e">
        <f t="shared" si="116"/>
        <v>#DIV/0!</v>
      </c>
      <c r="I1005" s="919">
        <f t="shared" si="114"/>
        <v>500</v>
      </c>
      <c r="J1005" s="919">
        <f t="shared" si="114"/>
        <v>485</v>
      </c>
      <c r="K1005" s="920">
        <f t="shared" si="117"/>
        <v>0.97</v>
      </c>
    </row>
    <row r="1006" spans="1:11" ht="24.95" customHeight="1">
      <c r="A1006" s="925" t="s">
        <v>3523</v>
      </c>
      <c r="B1006" s="916" t="s">
        <v>3524</v>
      </c>
      <c r="C1006" s="917">
        <v>5</v>
      </c>
      <c r="D1006" s="917">
        <v>2</v>
      </c>
      <c r="E1006" s="918">
        <f t="shared" si="115"/>
        <v>0.4</v>
      </c>
      <c r="F1006" s="917">
        <v>2</v>
      </c>
      <c r="G1006" s="917"/>
      <c r="H1006" s="918">
        <f t="shared" si="116"/>
        <v>0</v>
      </c>
      <c r="I1006" s="919">
        <f t="shared" si="114"/>
        <v>7</v>
      </c>
      <c r="J1006" s="919">
        <f t="shared" si="114"/>
        <v>2</v>
      </c>
      <c r="K1006" s="920">
        <f t="shared" si="117"/>
        <v>0.2857142857142857</v>
      </c>
    </row>
    <row r="1007" spans="1:11" ht="24.95" customHeight="1">
      <c r="A1007" s="925" t="s">
        <v>3525</v>
      </c>
      <c r="B1007" s="916" t="s">
        <v>3526</v>
      </c>
      <c r="C1007" s="917">
        <v>2</v>
      </c>
      <c r="D1007" s="917"/>
      <c r="E1007" s="918">
        <f t="shared" si="115"/>
        <v>0</v>
      </c>
      <c r="F1007" s="917">
        <v>2</v>
      </c>
      <c r="G1007" s="917"/>
      <c r="H1007" s="918">
        <f t="shared" si="116"/>
        <v>0</v>
      </c>
      <c r="I1007" s="919">
        <f t="shared" si="114"/>
        <v>4</v>
      </c>
      <c r="J1007" s="919">
        <f t="shared" si="114"/>
        <v>0</v>
      </c>
      <c r="K1007" s="920">
        <f t="shared" si="117"/>
        <v>0</v>
      </c>
    </row>
    <row r="1008" spans="1:11" ht="24.95" customHeight="1">
      <c r="A1008" s="921" t="s">
        <v>3527</v>
      </c>
      <c r="B1008" s="922" t="s">
        <v>3528</v>
      </c>
      <c r="C1008" s="917">
        <v>1410</v>
      </c>
      <c r="D1008" s="917">
        <v>634</v>
      </c>
      <c r="E1008" s="918">
        <f t="shared" si="115"/>
        <v>0.44964539007092197</v>
      </c>
      <c r="F1008" s="917">
        <v>70</v>
      </c>
      <c r="G1008" s="917">
        <v>23</v>
      </c>
      <c r="H1008" s="918">
        <f t="shared" si="116"/>
        <v>0.32857142857142857</v>
      </c>
      <c r="I1008" s="919">
        <f t="shared" si="114"/>
        <v>1480</v>
      </c>
      <c r="J1008" s="919">
        <f t="shared" si="114"/>
        <v>657</v>
      </c>
      <c r="K1008" s="920">
        <f t="shared" si="117"/>
        <v>0.44391891891891894</v>
      </c>
    </row>
    <row r="1009" spans="1:11" ht="24.95" customHeight="1">
      <c r="A1009" s="921" t="s">
        <v>3529</v>
      </c>
      <c r="B1009" s="922" t="s">
        <v>3530</v>
      </c>
      <c r="C1009" s="917">
        <v>1</v>
      </c>
      <c r="D1009" s="917"/>
      <c r="E1009" s="918">
        <f t="shared" si="115"/>
        <v>0</v>
      </c>
      <c r="F1009" s="917"/>
      <c r="G1009" s="917"/>
      <c r="H1009" s="918" t="e">
        <f t="shared" si="116"/>
        <v>#DIV/0!</v>
      </c>
      <c r="I1009" s="919">
        <f t="shared" si="114"/>
        <v>1</v>
      </c>
      <c r="J1009" s="919">
        <f t="shared" si="114"/>
        <v>0</v>
      </c>
      <c r="K1009" s="920">
        <f t="shared" si="117"/>
        <v>0</v>
      </c>
    </row>
    <row r="1010" spans="1:11" ht="24.95" customHeight="1">
      <c r="A1010" s="921" t="s">
        <v>3531</v>
      </c>
      <c r="B1010" s="922" t="s">
        <v>3532</v>
      </c>
      <c r="C1010" s="917">
        <v>1</v>
      </c>
      <c r="D1010" s="917"/>
      <c r="E1010" s="918">
        <f t="shared" si="115"/>
        <v>0</v>
      </c>
      <c r="F1010" s="917"/>
      <c r="G1010" s="917"/>
      <c r="H1010" s="918" t="e">
        <f t="shared" si="116"/>
        <v>#DIV/0!</v>
      </c>
      <c r="I1010" s="919">
        <f t="shared" si="114"/>
        <v>1</v>
      </c>
      <c r="J1010" s="919">
        <f t="shared" si="114"/>
        <v>0</v>
      </c>
      <c r="K1010" s="920">
        <f t="shared" si="117"/>
        <v>0</v>
      </c>
    </row>
    <row r="1011" spans="1:11" ht="24.95" customHeight="1">
      <c r="A1011" s="921" t="s">
        <v>3533</v>
      </c>
      <c r="B1011" s="922" t="s">
        <v>3534</v>
      </c>
      <c r="C1011" s="917">
        <v>1605</v>
      </c>
      <c r="D1011" s="917">
        <v>708</v>
      </c>
      <c r="E1011" s="918">
        <f t="shared" si="115"/>
        <v>0.44112149532710282</v>
      </c>
      <c r="F1011" s="917">
        <v>10</v>
      </c>
      <c r="G1011" s="917">
        <v>5</v>
      </c>
      <c r="H1011" s="918">
        <f t="shared" si="116"/>
        <v>0.5</v>
      </c>
      <c r="I1011" s="919">
        <f t="shared" si="114"/>
        <v>1615</v>
      </c>
      <c r="J1011" s="919">
        <f t="shared" si="114"/>
        <v>713</v>
      </c>
      <c r="K1011" s="920">
        <f t="shared" si="117"/>
        <v>0.44148606811145513</v>
      </c>
    </row>
    <row r="1012" spans="1:11" ht="24.95" customHeight="1">
      <c r="A1012" s="921" t="s">
        <v>3535</v>
      </c>
      <c r="B1012" s="922" t="s">
        <v>3536</v>
      </c>
      <c r="C1012" s="917">
        <v>1</v>
      </c>
      <c r="D1012" s="917">
        <v>1</v>
      </c>
      <c r="E1012" s="918">
        <f t="shared" si="115"/>
        <v>1</v>
      </c>
      <c r="F1012" s="917"/>
      <c r="G1012" s="917"/>
      <c r="H1012" s="918" t="e">
        <f t="shared" si="116"/>
        <v>#DIV/0!</v>
      </c>
      <c r="I1012" s="919">
        <f t="shared" si="114"/>
        <v>1</v>
      </c>
      <c r="J1012" s="919">
        <f t="shared" si="114"/>
        <v>1</v>
      </c>
      <c r="K1012" s="920">
        <f t="shared" si="117"/>
        <v>1</v>
      </c>
    </row>
    <row r="1013" spans="1:11" ht="24.95" customHeight="1">
      <c r="A1013" s="921" t="s">
        <v>3537</v>
      </c>
      <c r="B1013" s="922" t="s">
        <v>3538</v>
      </c>
      <c r="C1013" s="917">
        <v>915</v>
      </c>
      <c r="D1013" s="917">
        <v>395</v>
      </c>
      <c r="E1013" s="918">
        <f t="shared" si="115"/>
        <v>0.43169398907103823</v>
      </c>
      <c r="F1013" s="917">
        <v>5</v>
      </c>
      <c r="G1013" s="917"/>
      <c r="H1013" s="918">
        <f t="shared" si="116"/>
        <v>0</v>
      </c>
      <c r="I1013" s="919">
        <f t="shared" si="114"/>
        <v>920</v>
      </c>
      <c r="J1013" s="919">
        <f t="shared" si="114"/>
        <v>395</v>
      </c>
      <c r="K1013" s="920">
        <f t="shared" si="117"/>
        <v>0.42934782608695654</v>
      </c>
    </row>
    <row r="1014" spans="1:11" ht="24.95" customHeight="1">
      <c r="A1014" s="921" t="s">
        <v>3539</v>
      </c>
      <c r="B1014" s="916" t="s">
        <v>3540</v>
      </c>
      <c r="C1014" s="917">
        <v>50</v>
      </c>
      <c r="D1014" s="917">
        <v>7</v>
      </c>
      <c r="E1014" s="918">
        <f t="shared" si="115"/>
        <v>0.14000000000000001</v>
      </c>
      <c r="F1014" s="917">
        <v>30</v>
      </c>
      <c r="G1014" s="917">
        <v>11</v>
      </c>
      <c r="H1014" s="918">
        <f t="shared" si="116"/>
        <v>0.36666666666666664</v>
      </c>
      <c r="I1014" s="919">
        <f t="shared" si="114"/>
        <v>80</v>
      </c>
      <c r="J1014" s="919">
        <f t="shared" si="114"/>
        <v>18</v>
      </c>
      <c r="K1014" s="920">
        <f t="shared" si="117"/>
        <v>0.22500000000000001</v>
      </c>
    </row>
    <row r="1015" spans="1:11" ht="24.95" customHeight="1">
      <c r="A1015" s="921" t="s">
        <v>3541</v>
      </c>
      <c r="B1015" s="922" t="s">
        <v>3542</v>
      </c>
      <c r="C1015" s="917">
        <v>2</v>
      </c>
      <c r="D1015" s="917"/>
      <c r="E1015" s="918">
        <f t="shared" si="115"/>
        <v>0</v>
      </c>
      <c r="F1015" s="917">
        <v>5</v>
      </c>
      <c r="G1015" s="917"/>
      <c r="H1015" s="918">
        <f t="shared" si="116"/>
        <v>0</v>
      </c>
      <c r="I1015" s="919">
        <f t="shared" si="114"/>
        <v>7</v>
      </c>
      <c r="J1015" s="919">
        <f t="shared" si="114"/>
        <v>0</v>
      </c>
      <c r="K1015" s="920">
        <f t="shared" si="117"/>
        <v>0</v>
      </c>
    </row>
    <row r="1016" spans="1:11" s="734" customFormat="1" ht="24.95" customHeight="1">
      <c r="A1016" s="921" t="s">
        <v>3013</v>
      </c>
      <c r="B1016" s="937" t="s">
        <v>2388</v>
      </c>
      <c r="C1016" s="938"/>
      <c r="D1016" s="938"/>
      <c r="E1016" s="918" t="e">
        <f t="shared" si="115"/>
        <v>#DIV/0!</v>
      </c>
      <c r="F1016" s="939">
        <v>200</v>
      </c>
      <c r="G1016" s="939">
        <v>80</v>
      </c>
      <c r="H1016" s="918">
        <f t="shared" si="116"/>
        <v>0.4</v>
      </c>
      <c r="I1016" s="919">
        <f t="shared" si="114"/>
        <v>200</v>
      </c>
      <c r="J1016" s="919">
        <f t="shared" si="114"/>
        <v>80</v>
      </c>
      <c r="K1016" s="920">
        <f t="shared" si="117"/>
        <v>0.4</v>
      </c>
    </row>
    <row r="1017" spans="1:11" s="734" customFormat="1" ht="24.95" customHeight="1">
      <c r="A1017" s="921" t="s">
        <v>3052</v>
      </c>
      <c r="B1017" s="940" t="s">
        <v>3053</v>
      </c>
      <c r="C1017" s="938"/>
      <c r="D1017" s="938"/>
      <c r="E1017" s="918" t="e">
        <f t="shared" si="115"/>
        <v>#DIV/0!</v>
      </c>
      <c r="F1017" s="939">
        <v>10</v>
      </c>
      <c r="G1017" s="939"/>
      <c r="H1017" s="918">
        <f t="shared" si="116"/>
        <v>0</v>
      </c>
      <c r="I1017" s="919">
        <f t="shared" si="114"/>
        <v>10</v>
      </c>
      <c r="J1017" s="919">
        <f t="shared" si="114"/>
        <v>0</v>
      </c>
      <c r="K1017" s="920">
        <f t="shared" si="117"/>
        <v>0</v>
      </c>
    </row>
    <row r="1018" spans="1:11" ht="24.95" customHeight="1">
      <c r="A1018" s="915" t="s">
        <v>3543</v>
      </c>
      <c r="B1018" s="916" t="s">
        <v>3544</v>
      </c>
      <c r="C1018" s="917">
        <v>765</v>
      </c>
      <c r="D1018" s="917">
        <v>340</v>
      </c>
      <c r="E1018" s="918">
        <f t="shared" si="115"/>
        <v>0.44444444444444442</v>
      </c>
      <c r="F1018" s="917">
        <v>1</v>
      </c>
      <c r="G1018" s="917">
        <v>1</v>
      </c>
      <c r="H1018" s="918">
        <f t="shared" si="116"/>
        <v>1</v>
      </c>
      <c r="I1018" s="919">
        <f t="shared" si="114"/>
        <v>766</v>
      </c>
      <c r="J1018" s="919">
        <f t="shared" si="114"/>
        <v>341</v>
      </c>
      <c r="K1018" s="920">
        <f t="shared" si="117"/>
        <v>0.44516971279373369</v>
      </c>
    </row>
    <row r="1019" spans="1:11" ht="24.95" customHeight="1">
      <c r="A1019" s="915" t="s">
        <v>3545</v>
      </c>
      <c r="B1019" s="916" t="s">
        <v>3546</v>
      </c>
      <c r="C1019" s="917">
        <v>85</v>
      </c>
      <c r="D1019" s="917">
        <v>46</v>
      </c>
      <c r="E1019" s="918">
        <f t="shared" si="115"/>
        <v>0.54117647058823526</v>
      </c>
      <c r="F1019" s="917"/>
      <c r="G1019" s="917"/>
      <c r="H1019" s="918" t="e">
        <f t="shared" si="116"/>
        <v>#DIV/0!</v>
      </c>
      <c r="I1019" s="919">
        <f t="shared" si="114"/>
        <v>85</v>
      </c>
      <c r="J1019" s="919">
        <f t="shared" si="114"/>
        <v>46</v>
      </c>
      <c r="K1019" s="920">
        <f t="shared" si="117"/>
        <v>0.54117647058823526</v>
      </c>
    </row>
    <row r="1020" spans="1:11" ht="24.95" customHeight="1">
      <c r="A1020" s="925" t="s">
        <v>2389</v>
      </c>
      <c r="B1020" s="916" t="s">
        <v>2390</v>
      </c>
      <c r="C1020" s="917">
        <v>30</v>
      </c>
      <c r="D1020" s="917">
        <v>12</v>
      </c>
      <c r="E1020" s="918">
        <f t="shared" si="115"/>
        <v>0.4</v>
      </c>
      <c r="F1020" s="917">
        <v>45</v>
      </c>
      <c r="G1020" s="917">
        <v>21</v>
      </c>
      <c r="H1020" s="918">
        <f t="shared" si="116"/>
        <v>0.46666666666666667</v>
      </c>
      <c r="I1020" s="919">
        <f t="shared" si="114"/>
        <v>75</v>
      </c>
      <c r="J1020" s="919">
        <f t="shared" si="114"/>
        <v>33</v>
      </c>
      <c r="K1020" s="920">
        <f t="shared" si="117"/>
        <v>0.44</v>
      </c>
    </row>
    <row r="1021" spans="1:11" ht="24.95" customHeight="1">
      <c r="A1021" s="921" t="s">
        <v>2393</v>
      </c>
      <c r="B1021" s="922" t="s">
        <v>2394</v>
      </c>
      <c r="C1021" s="917"/>
      <c r="D1021" s="917"/>
      <c r="E1021" s="918" t="e">
        <f t="shared" si="115"/>
        <v>#DIV/0!</v>
      </c>
      <c r="F1021" s="917">
        <v>10</v>
      </c>
      <c r="G1021" s="917">
        <v>2</v>
      </c>
      <c r="H1021" s="918">
        <f t="shared" si="116"/>
        <v>0.2</v>
      </c>
      <c r="I1021" s="919">
        <f t="shared" si="114"/>
        <v>10</v>
      </c>
      <c r="J1021" s="919">
        <f t="shared" si="114"/>
        <v>2</v>
      </c>
      <c r="K1021" s="920">
        <f t="shared" si="117"/>
        <v>0.2</v>
      </c>
    </row>
    <row r="1022" spans="1:11" ht="24.95" customHeight="1">
      <c r="A1022" s="921" t="s">
        <v>2395</v>
      </c>
      <c r="B1022" s="922" t="s">
        <v>2396</v>
      </c>
      <c r="C1022" s="917"/>
      <c r="D1022" s="917"/>
      <c r="E1022" s="918" t="e">
        <f t="shared" si="115"/>
        <v>#DIV/0!</v>
      </c>
      <c r="F1022" s="917">
        <v>15</v>
      </c>
      <c r="G1022" s="917">
        <v>4</v>
      </c>
      <c r="H1022" s="918">
        <f t="shared" si="116"/>
        <v>0.26666666666666666</v>
      </c>
      <c r="I1022" s="919">
        <f t="shared" si="114"/>
        <v>15</v>
      </c>
      <c r="J1022" s="919">
        <f t="shared" si="114"/>
        <v>4</v>
      </c>
      <c r="K1022" s="920">
        <f t="shared" si="117"/>
        <v>0.26666666666666666</v>
      </c>
    </row>
    <row r="1023" spans="1:11" ht="24.95" customHeight="1">
      <c r="A1023" s="915" t="s">
        <v>2397</v>
      </c>
      <c r="B1023" s="916" t="s">
        <v>2398</v>
      </c>
      <c r="C1023" s="917"/>
      <c r="D1023" s="917"/>
      <c r="E1023" s="918" t="e">
        <f t="shared" si="115"/>
        <v>#DIV/0!</v>
      </c>
      <c r="F1023" s="917">
        <v>2</v>
      </c>
      <c r="G1023" s="917">
        <v>14</v>
      </c>
      <c r="H1023" s="918">
        <f t="shared" si="116"/>
        <v>7</v>
      </c>
      <c r="I1023" s="919">
        <f t="shared" si="114"/>
        <v>2</v>
      </c>
      <c r="J1023" s="919">
        <f t="shared" si="114"/>
        <v>14</v>
      </c>
      <c r="K1023" s="920">
        <f t="shared" si="117"/>
        <v>7</v>
      </c>
    </row>
    <row r="1024" spans="1:11" ht="24.95" customHeight="1">
      <c r="A1024" s="921" t="s">
        <v>2401</v>
      </c>
      <c r="B1024" s="922" t="s">
        <v>2402</v>
      </c>
      <c r="C1024" s="917">
        <v>2</v>
      </c>
      <c r="D1024" s="917"/>
      <c r="E1024" s="918">
        <f t="shared" si="115"/>
        <v>0</v>
      </c>
      <c r="F1024" s="917">
        <v>665</v>
      </c>
      <c r="G1024" s="917">
        <v>263</v>
      </c>
      <c r="H1024" s="918">
        <f t="shared" si="116"/>
        <v>0.39548872180451128</v>
      </c>
      <c r="I1024" s="919">
        <f t="shared" si="114"/>
        <v>667</v>
      </c>
      <c r="J1024" s="919">
        <f t="shared" si="114"/>
        <v>263</v>
      </c>
      <c r="K1024" s="920">
        <f t="shared" si="117"/>
        <v>0.39430284857571213</v>
      </c>
    </row>
    <row r="1025" spans="1:11" ht="24.95" customHeight="1">
      <c r="A1025" s="921" t="s">
        <v>2805</v>
      </c>
      <c r="B1025" s="922" t="s">
        <v>3547</v>
      </c>
      <c r="C1025" s="917">
        <v>12</v>
      </c>
      <c r="D1025" s="917">
        <v>8</v>
      </c>
      <c r="E1025" s="918">
        <f t="shared" si="115"/>
        <v>0.66666666666666663</v>
      </c>
      <c r="F1025" s="917">
        <v>205</v>
      </c>
      <c r="G1025" s="917">
        <v>89</v>
      </c>
      <c r="H1025" s="918">
        <f t="shared" si="116"/>
        <v>0.43414634146341463</v>
      </c>
      <c r="I1025" s="919">
        <f t="shared" si="114"/>
        <v>217</v>
      </c>
      <c r="J1025" s="919">
        <f t="shared" si="114"/>
        <v>97</v>
      </c>
      <c r="K1025" s="920">
        <f t="shared" si="117"/>
        <v>0.44700460829493088</v>
      </c>
    </row>
    <row r="1026" spans="1:11" ht="24.95" customHeight="1">
      <c r="A1026" s="921">
        <v>241021</v>
      </c>
      <c r="B1026" s="916" t="s">
        <v>3548</v>
      </c>
      <c r="C1026" s="917">
        <v>3425</v>
      </c>
      <c r="D1026" s="917">
        <f>5564+287</f>
        <v>5851</v>
      </c>
      <c r="E1026" s="918">
        <f t="shared" si="115"/>
        <v>1.7083211678832118</v>
      </c>
      <c r="F1026" s="917">
        <v>200</v>
      </c>
      <c r="G1026" s="917">
        <v>56</v>
      </c>
      <c r="H1026" s="918">
        <f t="shared" si="116"/>
        <v>0.28000000000000003</v>
      </c>
      <c r="I1026" s="919">
        <f t="shared" ref="I1026:J1057" si="118">+C1026+F1026</f>
        <v>3625</v>
      </c>
      <c r="J1026" s="919">
        <f t="shared" si="118"/>
        <v>5907</v>
      </c>
      <c r="K1026" s="920">
        <f t="shared" si="117"/>
        <v>1.6295172413793104</v>
      </c>
    </row>
    <row r="1027" spans="1:11" ht="24.95" customHeight="1">
      <c r="A1027" s="921" t="s">
        <v>3549</v>
      </c>
      <c r="B1027" s="916" t="s">
        <v>3550</v>
      </c>
      <c r="C1027" s="917">
        <v>1</v>
      </c>
      <c r="D1027" s="917"/>
      <c r="E1027" s="918">
        <f t="shared" si="115"/>
        <v>0</v>
      </c>
      <c r="F1027" s="917"/>
      <c r="G1027" s="917"/>
      <c r="H1027" s="918" t="e">
        <f t="shared" si="116"/>
        <v>#DIV/0!</v>
      </c>
      <c r="I1027" s="919">
        <f t="shared" si="118"/>
        <v>1</v>
      </c>
      <c r="J1027" s="919">
        <f t="shared" si="118"/>
        <v>0</v>
      </c>
      <c r="K1027" s="920">
        <f t="shared" si="117"/>
        <v>0</v>
      </c>
    </row>
    <row r="1028" spans="1:11" ht="24.95" customHeight="1">
      <c r="A1028" s="921" t="s">
        <v>3551</v>
      </c>
      <c r="B1028" s="916" t="s">
        <v>3552</v>
      </c>
      <c r="C1028" s="917">
        <v>600</v>
      </c>
      <c r="D1028" s="917">
        <v>3</v>
      </c>
      <c r="E1028" s="918">
        <f t="shared" si="115"/>
        <v>5.0000000000000001E-3</v>
      </c>
      <c r="F1028" s="917"/>
      <c r="G1028" s="917">
        <v>398</v>
      </c>
      <c r="H1028" s="918" t="e">
        <f t="shared" si="116"/>
        <v>#DIV/0!</v>
      </c>
      <c r="I1028" s="919">
        <f t="shared" si="118"/>
        <v>600</v>
      </c>
      <c r="J1028" s="919">
        <f t="shared" si="118"/>
        <v>401</v>
      </c>
      <c r="K1028" s="920">
        <f t="shared" si="117"/>
        <v>0.66833333333333333</v>
      </c>
    </row>
    <row r="1029" spans="1:11" ht="24.95" customHeight="1">
      <c r="A1029" s="921" t="s">
        <v>3553</v>
      </c>
      <c r="B1029" s="916" t="s">
        <v>3554</v>
      </c>
      <c r="C1029" s="917">
        <v>1</v>
      </c>
      <c r="D1029" s="917"/>
      <c r="E1029" s="918">
        <f t="shared" si="115"/>
        <v>0</v>
      </c>
      <c r="F1029" s="917"/>
      <c r="G1029" s="917"/>
      <c r="H1029" s="918" t="e">
        <f t="shared" si="116"/>
        <v>#DIV/0!</v>
      </c>
      <c r="I1029" s="919">
        <f t="shared" si="118"/>
        <v>1</v>
      </c>
      <c r="J1029" s="919">
        <f t="shared" si="118"/>
        <v>0</v>
      </c>
      <c r="K1029" s="920">
        <f t="shared" si="117"/>
        <v>0</v>
      </c>
    </row>
    <row r="1030" spans="1:11" ht="24.95" customHeight="1">
      <c r="A1030" s="915" t="s">
        <v>2808</v>
      </c>
      <c r="B1030" s="916" t="s">
        <v>2809</v>
      </c>
      <c r="C1030" s="917"/>
      <c r="D1030" s="917"/>
      <c r="E1030" s="918" t="e">
        <f t="shared" si="115"/>
        <v>#DIV/0!</v>
      </c>
      <c r="F1030" s="917">
        <v>5</v>
      </c>
      <c r="G1030" s="917">
        <v>1</v>
      </c>
      <c r="H1030" s="918">
        <f t="shared" si="116"/>
        <v>0.2</v>
      </c>
      <c r="I1030" s="919">
        <f t="shared" si="118"/>
        <v>5</v>
      </c>
      <c r="J1030" s="919">
        <f t="shared" si="118"/>
        <v>1</v>
      </c>
      <c r="K1030" s="920">
        <f t="shared" si="117"/>
        <v>0.2</v>
      </c>
    </row>
    <row r="1031" spans="1:11" ht="24.95" customHeight="1">
      <c r="A1031" s="915" t="s">
        <v>3555</v>
      </c>
      <c r="B1031" s="916" t="s">
        <v>3556</v>
      </c>
      <c r="C1031" s="917">
        <v>1</v>
      </c>
      <c r="D1031" s="917"/>
      <c r="E1031" s="918">
        <f t="shared" si="115"/>
        <v>0</v>
      </c>
      <c r="F1031" s="917"/>
      <c r="G1031" s="917"/>
      <c r="H1031" s="918" t="e">
        <f t="shared" si="116"/>
        <v>#DIV/0!</v>
      </c>
      <c r="I1031" s="919">
        <f t="shared" si="118"/>
        <v>1</v>
      </c>
      <c r="J1031" s="919">
        <f t="shared" si="118"/>
        <v>0</v>
      </c>
      <c r="K1031" s="920">
        <f t="shared" si="117"/>
        <v>0</v>
      </c>
    </row>
    <row r="1032" spans="1:11" ht="24.95" customHeight="1">
      <c r="A1032" s="915" t="s">
        <v>3557</v>
      </c>
      <c r="B1032" s="916" t="s">
        <v>3558</v>
      </c>
      <c r="C1032" s="917">
        <v>2</v>
      </c>
      <c r="D1032" s="917"/>
      <c r="E1032" s="918">
        <f t="shared" si="115"/>
        <v>0</v>
      </c>
      <c r="F1032" s="917"/>
      <c r="G1032" s="917"/>
      <c r="H1032" s="918" t="e">
        <f t="shared" si="116"/>
        <v>#DIV/0!</v>
      </c>
      <c r="I1032" s="919">
        <f t="shared" si="118"/>
        <v>2</v>
      </c>
      <c r="J1032" s="919">
        <f t="shared" si="118"/>
        <v>0</v>
      </c>
      <c r="K1032" s="920">
        <f t="shared" si="117"/>
        <v>0</v>
      </c>
    </row>
    <row r="1033" spans="1:11" ht="24.95" customHeight="1">
      <c r="A1033" s="915" t="s">
        <v>3559</v>
      </c>
      <c r="B1033" s="916" t="s">
        <v>3560</v>
      </c>
      <c r="C1033" s="917">
        <v>2</v>
      </c>
      <c r="D1033" s="917">
        <v>1</v>
      </c>
      <c r="E1033" s="918">
        <f t="shared" si="115"/>
        <v>0.5</v>
      </c>
      <c r="F1033" s="917"/>
      <c r="G1033" s="917"/>
      <c r="H1033" s="918" t="e">
        <f t="shared" si="116"/>
        <v>#DIV/0!</v>
      </c>
      <c r="I1033" s="919">
        <f t="shared" si="118"/>
        <v>2</v>
      </c>
      <c r="J1033" s="919">
        <f t="shared" si="118"/>
        <v>1</v>
      </c>
      <c r="K1033" s="920">
        <f t="shared" si="117"/>
        <v>0.5</v>
      </c>
    </row>
    <row r="1034" spans="1:11" ht="24.95" customHeight="1">
      <c r="A1034" s="915" t="s">
        <v>3561</v>
      </c>
      <c r="B1034" s="916" t="s">
        <v>3562</v>
      </c>
      <c r="C1034" s="917">
        <v>1</v>
      </c>
      <c r="D1034" s="917"/>
      <c r="E1034" s="918">
        <f t="shared" si="115"/>
        <v>0</v>
      </c>
      <c r="F1034" s="917"/>
      <c r="G1034" s="917">
        <v>1</v>
      </c>
      <c r="H1034" s="918" t="e">
        <f t="shared" si="116"/>
        <v>#DIV/0!</v>
      </c>
      <c r="I1034" s="919">
        <f t="shared" si="118"/>
        <v>1</v>
      </c>
      <c r="J1034" s="919">
        <f t="shared" si="118"/>
        <v>1</v>
      </c>
      <c r="K1034" s="920">
        <f t="shared" si="117"/>
        <v>1</v>
      </c>
    </row>
    <row r="1035" spans="1:11" ht="24.95" customHeight="1">
      <c r="A1035" s="921" t="s">
        <v>2423</v>
      </c>
      <c r="B1035" s="922" t="s">
        <v>2424</v>
      </c>
      <c r="C1035" s="917">
        <v>1300</v>
      </c>
      <c r="D1035" s="917">
        <v>440</v>
      </c>
      <c r="E1035" s="918">
        <f t="shared" si="115"/>
        <v>0.33846153846153848</v>
      </c>
      <c r="F1035" s="917">
        <v>335</v>
      </c>
      <c r="G1035" s="941">
        <f>43+148+2</f>
        <v>193</v>
      </c>
      <c r="H1035" s="918">
        <f t="shared" si="116"/>
        <v>0.57611940298507458</v>
      </c>
      <c r="I1035" s="919">
        <f t="shared" si="118"/>
        <v>1635</v>
      </c>
      <c r="J1035" s="919">
        <f t="shared" si="118"/>
        <v>633</v>
      </c>
      <c r="K1035" s="920">
        <f t="shared" si="117"/>
        <v>0.38715596330275232</v>
      </c>
    </row>
    <row r="1036" spans="1:11" ht="24.95" customHeight="1">
      <c r="A1036" s="921" t="s">
        <v>3563</v>
      </c>
      <c r="B1036" s="923" t="s">
        <v>3564</v>
      </c>
      <c r="C1036" s="917">
        <v>1</v>
      </c>
      <c r="D1036" s="917">
        <v>1</v>
      </c>
      <c r="E1036" s="918">
        <f t="shared" si="115"/>
        <v>1</v>
      </c>
      <c r="F1036" s="917"/>
      <c r="G1036" s="917"/>
      <c r="H1036" s="918" t="e">
        <f t="shared" si="116"/>
        <v>#DIV/0!</v>
      </c>
      <c r="I1036" s="919">
        <f t="shared" si="118"/>
        <v>1</v>
      </c>
      <c r="J1036" s="919">
        <f t="shared" si="118"/>
        <v>1</v>
      </c>
      <c r="K1036" s="920">
        <f t="shared" si="117"/>
        <v>1</v>
      </c>
    </row>
    <row r="1037" spans="1:11" ht="24.95" customHeight="1">
      <c r="A1037" s="921" t="s">
        <v>3565</v>
      </c>
      <c r="B1037" s="922" t="s">
        <v>3566</v>
      </c>
      <c r="C1037" s="917">
        <v>5</v>
      </c>
      <c r="D1037" s="917"/>
      <c r="E1037" s="918">
        <f t="shared" si="115"/>
        <v>0</v>
      </c>
      <c r="F1037" s="917"/>
      <c r="G1037" s="917">
        <v>1</v>
      </c>
      <c r="H1037" s="918" t="e">
        <f t="shared" si="116"/>
        <v>#DIV/0!</v>
      </c>
      <c r="I1037" s="919">
        <f t="shared" si="118"/>
        <v>5</v>
      </c>
      <c r="J1037" s="919">
        <f t="shared" si="118"/>
        <v>1</v>
      </c>
      <c r="K1037" s="920">
        <f t="shared" si="117"/>
        <v>0.2</v>
      </c>
    </row>
    <row r="1038" spans="1:11" ht="24.95" customHeight="1">
      <c r="A1038" s="921" t="s">
        <v>3567</v>
      </c>
      <c r="B1038" s="922" t="s">
        <v>3568</v>
      </c>
      <c r="C1038" s="917">
        <v>1</v>
      </c>
      <c r="D1038" s="917"/>
      <c r="E1038" s="918">
        <f t="shared" si="115"/>
        <v>0</v>
      </c>
      <c r="F1038" s="917"/>
      <c r="G1038" s="917"/>
      <c r="H1038" s="918" t="e">
        <f t="shared" si="116"/>
        <v>#DIV/0!</v>
      </c>
      <c r="I1038" s="919">
        <f t="shared" si="118"/>
        <v>1</v>
      </c>
      <c r="J1038" s="919">
        <f t="shared" si="118"/>
        <v>0</v>
      </c>
      <c r="K1038" s="920">
        <f t="shared" si="117"/>
        <v>0</v>
      </c>
    </row>
    <row r="1039" spans="1:11" ht="24.95" customHeight="1">
      <c r="A1039" s="921" t="s">
        <v>3569</v>
      </c>
      <c r="B1039" s="922" t="s">
        <v>3570</v>
      </c>
      <c r="C1039" s="917">
        <v>1</v>
      </c>
      <c r="D1039" s="917"/>
      <c r="E1039" s="918">
        <f t="shared" si="115"/>
        <v>0</v>
      </c>
      <c r="F1039" s="917"/>
      <c r="G1039" s="917"/>
      <c r="H1039" s="918" t="e">
        <f t="shared" si="116"/>
        <v>#DIV/0!</v>
      </c>
      <c r="I1039" s="919">
        <f t="shared" si="118"/>
        <v>1</v>
      </c>
      <c r="J1039" s="919">
        <f t="shared" si="118"/>
        <v>0</v>
      </c>
      <c r="K1039" s="920">
        <f t="shared" si="117"/>
        <v>0</v>
      </c>
    </row>
    <row r="1040" spans="1:11" ht="24.95" customHeight="1">
      <c r="A1040" s="921" t="s">
        <v>3022</v>
      </c>
      <c r="B1040" s="922" t="s">
        <v>3023</v>
      </c>
      <c r="C1040" s="917">
        <v>2</v>
      </c>
      <c r="D1040" s="917"/>
      <c r="E1040" s="918">
        <f t="shared" si="115"/>
        <v>0</v>
      </c>
      <c r="F1040" s="917">
        <v>10</v>
      </c>
      <c r="G1040" s="917">
        <v>2</v>
      </c>
      <c r="H1040" s="918">
        <f t="shared" si="116"/>
        <v>0.2</v>
      </c>
      <c r="I1040" s="919">
        <f t="shared" si="118"/>
        <v>12</v>
      </c>
      <c r="J1040" s="919">
        <f t="shared" si="118"/>
        <v>2</v>
      </c>
      <c r="K1040" s="920">
        <f t="shared" si="117"/>
        <v>0.16666666666666666</v>
      </c>
    </row>
    <row r="1041" spans="1:11" ht="24.95" customHeight="1">
      <c r="A1041" s="921" t="s">
        <v>3571</v>
      </c>
      <c r="B1041" s="922" t="s">
        <v>3572</v>
      </c>
      <c r="C1041" s="917"/>
      <c r="D1041" s="917"/>
      <c r="E1041" s="918" t="e">
        <f t="shared" si="115"/>
        <v>#DIV/0!</v>
      </c>
      <c r="F1041" s="917">
        <v>1</v>
      </c>
      <c r="G1041" s="917"/>
      <c r="H1041" s="918">
        <f t="shared" si="116"/>
        <v>0</v>
      </c>
      <c r="I1041" s="919">
        <f t="shared" si="118"/>
        <v>1</v>
      </c>
      <c r="J1041" s="919">
        <f t="shared" si="118"/>
        <v>0</v>
      </c>
      <c r="K1041" s="920">
        <f t="shared" si="117"/>
        <v>0</v>
      </c>
    </row>
    <row r="1042" spans="1:11" ht="24.95" customHeight="1">
      <c r="A1042" s="921" t="s">
        <v>3573</v>
      </c>
      <c r="B1042" s="922" t="s">
        <v>3574</v>
      </c>
      <c r="C1042" s="917"/>
      <c r="D1042" s="917"/>
      <c r="E1042" s="918" t="e">
        <f t="shared" si="115"/>
        <v>#DIV/0!</v>
      </c>
      <c r="F1042" s="917">
        <v>2</v>
      </c>
      <c r="G1042" s="917"/>
      <c r="H1042" s="918">
        <f t="shared" si="116"/>
        <v>0</v>
      </c>
      <c r="I1042" s="919">
        <f t="shared" si="118"/>
        <v>2</v>
      </c>
      <c r="J1042" s="919">
        <f t="shared" si="118"/>
        <v>0</v>
      </c>
      <c r="K1042" s="920">
        <f t="shared" si="117"/>
        <v>0</v>
      </c>
    </row>
    <row r="1043" spans="1:11" ht="24.95" customHeight="1">
      <c r="A1043" s="921" t="s">
        <v>3377</v>
      </c>
      <c r="B1043" s="922" t="s">
        <v>3378</v>
      </c>
      <c r="C1043" s="917">
        <v>2</v>
      </c>
      <c r="D1043" s="917">
        <v>1</v>
      </c>
      <c r="E1043" s="918">
        <f t="shared" si="115"/>
        <v>0.5</v>
      </c>
      <c r="F1043" s="917">
        <v>6</v>
      </c>
      <c r="G1043" s="917">
        <v>1</v>
      </c>
      <c r="H1043" s="918">
        <f t="shared" si="116"/>
        <v>0.16666666666666666</v>
      </c>
      <c r="I1043" s="919">
        <f t="shared" si="118"/>
        <v>8</v>
      </c>
      <c r="J1043" s="919">
        <f t="shared" si="118"/>
        <v>2</v>
      </c>
      <c r="K1043" s="920">
        <f t="shared" si="117"/>
        <v>0.25</v>
      </c>
    </row>
    <row r="1044" spans="1:11" ht="24.95" customHeight="1">
      <c r="A1044" s="921" t="s">
        <v>3379</v>
      </c>
      <c r="B1044" s="922" t="s">
        <v>3380</v>
      </c>
      <c r="C1044" s="917">
        <v>2</v>
      </c>
      <c r="D1044" s="917"/>
      <c r="E1044" s="918">
        <f t="shared" si="115"/>
        <v>0</v>
      </c>
      <c r="F1044" s="917">
        <v>3</v>
      </c>
      <c r="G1044" s="917"/>
      <c r="H1044" s="918">
        <f t="shared" si="116"/>
        <v>0</v>
      </c>
      <c r="I1044" s="919">
        <f t="shared" si="118"/>
        <v>5</v>
      </c>
      <c r="J1044" s="919">
        <f t="shared" si="118"/>
        <v>0</v>
      </c>
      <c r="K1044" s="920">
        <f t="shared" si="117"/>
        <v>0</v>
      </c>
    </row>
    <row r="1045" spans="1:11" ht="24.95" customHeight="1">
      <c r="A1045" s="921" t="s">
        <v>3381</v>
      </c>
      <c r="B1045" s="922" t="s">
        <v>3382</v>
      </c>
      <c r="C1045" s="917">
        <v>3</v>
      </c>
      <c r="D1045" s="917">
        <v>2</v>
      </c>
      <c r="E1045" s="918">
        <f t="shared" si="115"/>
        <v>0.66666666666666663</v>
      </c>
      <c r="F1045" s="917">
        <v>2</v>
      </c>
      <c r="G1045" s="917">
        <v>1</v>
      </c>
      <c r="H1045" s="918">
        <f t="shared" si="116"/>
        <v>0.5</v>
      </c>
      <c r="I1045" s="919">
        <f t="shared" si="118"/>
        <v>5</v>
      </c>
      <c r="J1045" s="919">
        <f t="shared" si="118"/>
        <v>3</v>
      </c>
      <c r="K1045" s="920">
        <f t="shared" si="117"/>
        <v>0.6</v>
      </c>
    </row>
    <row r="1046" spans="1:11" ht="24.95" customHeight="1">
      <c r="A1046" s="921" t="s">
        <v>3227</v>
      </c>
      <c r="B1046" s="922" t="s">
        <v>3228</v>
      </c>
      <c r="C1046" s="917">
        <v>1</v>
      </c>
      <c r="D1046" s="917">
        <v>2</v>
      </c>
      <c r="E1046" s="918">
        <f t="shared" si="115"/>
        <v>2</v>
      </c>
      <c r="F1046" s="917"/>
      <c r="G1046" s="917"/>
      <c r="H1046" s="918" t="e">
        <f t="shared" si="116"/>
        <v>#DIV/0!</v>
      </c>
      <c r="I1046" s="919">
        <f t="shared" si="118"/>
        <v>1</v>
      </c>
      <c r="J1046" s="919">
        <f t="shared" si="118"/>
        <v>2</v>
      </c>
      <c r="K1046" s="920">
        <f t="shared" si="117"/>
        <v>2</v>
      </c>
    </row>
    <row r="1047" spans="1:11" ht="24.95" customHeight="1">
      <c r="A1047" s="921" t="s">
        <v>3575</v>
      </c>
      <c r="B1047" s="922" t="s">
        <v>3576</v>
      </c>
      <c r="C1047" s="917">
        <v>1</v>
      </c>
      <c r="D1047" s="917">
        <v>2</v>
      </c>
      <c r="E1047" s="918">
        <f t="shared" si="115"/>
        <v>2</v>
      </c>
      <c r="F1047" s="917">
        <v>15</v>
      </c>
      <c r="G1047" s="917">
        <v>8</v>
      </c>
      <c r="H1047" s="918">
        <f t="shared" si="116"/>
        <v>0.53333333333333333</v>
      </c>
      <c r="I1047" s="919">
        <f t="shared" si="118"/>
        <v>16</v>
      </c>
      <c r="J1047" s="919">
        <f t="shared" si="118"/>
        <v>10</v>
      </c>
      <c r="K1047" s="920">
        <f t="shared" si="117"/>
        <v>0.625</v>
      </c>
    </row>
    <row r="1048" spans="1:11" ht="24.95" customHeight="1">
      <c r="A1048" s="921" t="s">
        <v>3577</v>
      </c>
      <c r="B1048" s="922" t="s">
        <v>3578</v>
      </c>
      <c r="C1048" s="917">
        <v>2</v>
      </c>
      <c r="D1048" s="917"/>
      <c r="E1048" s="918">
        <f t="shared" si="115"/>
        <v>0</v>
      </c>
      <c r="F1048" s="917">
        <v>1</v>
      </c>
      <c r="G1048" s="917"/>
      <c r="H1048" s="918">
        <f t="shared" si="116"/>
        <v>0</v>
      </c>
      <c r="I1048" s="919">
        <f t="shared" si="118"/>
        <v>3</v>
      </c>
      <c r="J1048" s="919">
        <f t="shared" si="118"/>
        <v>0</v>
      </c>
      <c r="K1048" s="920">
        <f t="shared" si="117"/>
        <v>0</v>
      </c>
    </row>
    <row r="1049" spans="1:11" ht="24.95" customHeight="1">
      <c r="A1049" s="921" t="s">
        <v>3229</v>
      </c>
      <c r="B1049" s="922" t="s">
        <v>3230</v>
      </c>
      <c r="C1049" s="917">
        <v>1</v>
      </c>
      <c r="D1049" s="917">
        <v>2</v>
      </c>
      <c r="E1049" s="918">
        <f t="shared" si="115"/>
        <v>2</v>
      </c>
      <c r="F1049" s="917">
        <v>2</v>
      </c>
      <c r="G1049" s="917"/>
      <c r="H1049" s="918">
        <f t="shared" si="116"/>
        <v>0</v>
      </c>
      <c r="I1049" s="919">
        <f t="shared" si="118"/>
        <v>3</v>
      </c>
      <c r="J1049" s="919">
        <f t="shared" si="118"/>
        <v>2</v>
      </c>
      <c r="K1049" s="920">
        <f t="shared" si="117"/>
        <v>0.66666666666666663</v>
      </c>
    </row>
    <row r="1050" spans="1:11" ht="24.95" customHeight="1">
      <c r="A1050" s="921" t="s">
        <v>3579</v>
      </c>
      <c r="B1050" s="922" t="s">
        <v>3580</v>
      </c>
      <c r="C1050" s="917">
        <v>1</v>
      </c>
      <c r="D1050" s="917"/>
      <c r="E1050" s="918">
        <f t="shared" si="115"/>
        <v>0</v>
      </c>
      <c r="F1050" s="917"/>
      <c r="G1050" s="917"/>
      <c r="H1050" s="918" t="e">
        <f t="shared" si="116"/>
        <v>#DIV/0!</v>
      </c>
      <c r="I1050" s="919">
        <f t="shared" si="118"/>
        <v>1</v>
      </c>
      <c r="J1050" s="919">
        <f t="shared" si="118"/>
        <v>0</v>
      </c>
      <c r="K1050" s="920">
        <f t="shared" si="117"/>
        <v>0</v>
      </c>
    </row>
    <row r="1051" spans="1:11" ht="24.95" customHeight="1">
      <c r="A1051" s="921" t="s">
        <v>3581</v>
      </c>
      <c r="B1051" s="922" t="s">
        <v>3582</v>
      </c>
      <c r="C1051" s="942">
        <v>16</v>
      </c>
      <c r="D1051" s="942">
        <v>5</v>
      </c>
      <c r="E1051" s="918">
        <f t="shared" si="115"/>
        <v>0.3125</v>
      </c>
      <c r="F1051" s="942">
        <v>5</v>
      </c>
      <c r="G1051" s="942">
        <v>4</v>
      </c>
      <c r="H1051" s="918">
        <f t="shared" si="116"/>
        <v>0.8</v>
      </c>
      <c r="I1051" s="919">
        <f t="shared" si="118"/>
        <v>21</v>
      </c>
      <c r="J1051" s="919">
        <f t="shared" si="118"/>
        <v>9</v>
      </c>
      <c r="K1051" s="920">
        <f t="shared" si="117"/>
        <v>0.42857142857142855</v>
      </c>
    </row>
    <row r="1052" spans="1:11" ht="24.95" customHeight="1">
      <c r="A1052" s="921" t="s">
        <v>3583</v>
      </c>
      <c r="B1052" s="922" t="s">
        <v>2818</v>
      </c>
      <c r="C1052" s="942">
        <v>1</v>
      </c>
      <c r="D1052" s="942">
        <v>1</v>
      </c>
      <c r="E1052" s="918">
        <f t="shared" si="115"/>
        <v>1</v>
      </c>
      <c r="F1052" s="942">
        <v>1</v>
      </c>
      <c r="G1052" s="942"/>
      <c r="H1052" s="918">
        <f t="shared" si="116"/>
        <v>0</v>
      </c>
      <c r="I1052" s="919">
        <f t="shared" si="118"/>
        <v>2</v>
      </c>
      <c r="J1052" s="919">
        <f t="shared" si="118"/>
        <v>1</v>
      </c>
      <c r="K1052" s="920">
        <f t="shared" si="117"/>
        <v>0.5</v>
      </c>
    </row>
    <row r="1053" spans="1:11" s="711" customFormat="1" ht="24.95" customHeight="1">
      <c r="A1053" s="921" t="s">
        <v>2429</v>
      </c>
      <c r="B1053" s="937" t="s">
        <v>2430</v>
      </c>
      <c r="C1053" s="942"/>
      <c r="D1053" s="942"/>
      <c r="E1053" s="918" t="e">
        <f t="shared" si="115"/>
        <v>#DIV/0!</v>
      </c>
      <c r="F1053" s="943">
        <v>10</v>
      </c>
      <c r="G1053" s="943"/>
      <c r="H1053" s="918">
        <f t="shared" si="116"/>
        <v>0</v>
      </c>
      <c r="I1053" s="919">
        <f t="shared" si="118"/>
        <v>10</v>
      </c>
      <c r="J1053" s="919">
        <f t="shared" si="118"/>
        <v>0</v>
      </c>
      <c r="K1053" s="920">
        <f t="shared" si="117"/>
        <v>0</v>
      </c>
    </row>
    <row r="1054" spans="1:11" s="946" customFormat="1" ht="24.95" customHeight="1">
      <c r="A1054" s="944" t="s">
        <v>3584</v>
      </c>
      <c r="B1054" s="945" t="s">
        <v>3585</v>
      </c>
      <c r="C1054" s="942">
        <v>40</v>
      </c>
      <c r="D1054" s="942">
        <v>43</v>
      </c>
      <c r="E1054" s="918">
        <f t="shared" si="115"/>
        <v>1.075</v>
      </c>
      <c r="F1054" s="942">
        <v>3</v>
      </c>
      <c r="G1054" s="942"/>
      <c r="H1054" s="918">
        <f t="shared" si="116"/>
        <v>0</v>
      </c>
      <c r="I1054" s="919">
        <f t="shared" si="118"/>
        <v>43</v>
      </c>
      <c r="J1054" s="919">
        <f t="shared" si="118"/>
        <v>43</v>
      </c>
      <c r="K1054" s="920">
        <f t="shared" si="117"/>
        <v>1</v>
      </c>
    </row>
    <row r="1055" spans="1:11" s="946" customFormat="1" ht="24.95" customHeight="1">
      <c r="A1055" s="944" t="s">
        <v>3586</v>
      </c>
      <c r="B1055" s="945" t="s">
        <v>3587</v>
      </c>
      <c r="C1055" s="942"/>
      <c r="D1055" s="942"/>
      <c r="E1055" s="918" t="e">
        <f t="shared" si="115"/>
        <v>#DIV/0!</v>
      </c>
      <c r="F1055" s="942">
        <v>2</v>
      </c>
      <c r="G1055" s="942"/>
      <c r="H1055" s="918">
        <f t="shared" si="116"/>
        <v>0</v>
      </c>
      <c r="I1055" s="919">
        <f t="shared" si="118"/>
        <v>2</v>
      </c>
      <c r="J1055" s="919">
        <f t="shared" si="118"/>
        <v>0</v>
      </c>
      <c r="K1055" s="920">
        <f t="shared" si="117"/>
        <v>0</v>
      </c>
    </row>
    <row r="1056" spans="1:11" ht="24.95" customHeight="1">
      <c r="A1056" s="921" t="s">
        <v>3588</v>
      </c>
      <c r="B1056" s="922" t="s">
        <v>3589</v>
      </c>
      <c r="C1056" s="942">
        <v>1065</v>
      </c>
      <c r="D1056" s="942">
        <v>482</v>
      </c>
      <c r="E1056" s="918">
        <f t="shared" si="115"/>
        <v>0.45258215962441317</v>
      </c>
      <c r="F1056" s="942">
        <v>15</v>
      </c>
      <c r="G1056" s="942">
        <v>4</v>
      </c>
      <c r="H1056" s="918">
        <f t="shared" si="116"/>
        <v>0.26666666666666666</v>
      </c>
      <c r="I1056" s="919">
        <f t="shared" si="118"/>
        <v>1080</v>
      </c>
      <c r="J1056" s="919">
        <f t="shared" si="118"/>
        <v>486</v>
      </c>
      <c r="K1056" s="920">
        <f t="shared" si="117"/>
        <v>0.45</v>
      </c>
    </row>
    <row r="1057" spans="1:11" ht="24.95" customHeight="1">
      <c r="A1057" s="921" t="s">
        <v>3590</v>
      </c>
      <c r="B1057" s="922" t="s">
        <v>3591</v>
      </c>
      <c r="C1057" s="942">
        <v>855</v>
      </c>
      <c r="D1057" s="942">
        <v>373</v>
      </c>
      <c r="E1057" s="918">
        <f t="shared" si="115"/>
        <v>0.43625730994152045</v>
      </c>
      <c r="F1057" s="942">
        <v>10</v>
      </c>
      <c r="G1057" s="942">
        <v>8</v>
      </c>
      <c r="H1057" s="918">
        <f t="shared" si="116"/>
        <v>0.8</v>
      </c>
      <c r="I1057" s="919">
        <f t="shared" si="118"/>
        <v>865</v>
      </c>
      <c r="J1057" s="919">
        <f t="shared" si="118"/>
        <v>381</v>
      </c>
      <c r="K1057" s="920">
        <f t="shared" si="117"/>
        <v>0.44046242774566474</v>
      </c>
    </row>
    <row r="1058" spans="1:11" ht="24.95" customHeight="1">
      <c r="A1058" s="921" t="s">
        <v>3592</v>
      </c>
      <c r="B1058" s="922" t="s">
        <v>3593</v>
      </c>
      <c r="C1058" s="942">
        <v>300</v>
      </c>
      <c r="D1058" s="942">
        <v>392</v>
      </c>
      <c r="E1058" s="918">
        <f t="shared" si="115"/>
        <v>1.3066666666666666</v>
      </c>
      <c r="F1058" s="942"/>
      <c r="G1058" s="942">
        <v>2</v>
      </c>
      <c r="H1058" s="918" t="e">
        <f t="shared" si="116"/>
        <v>#DIV/0!</v>
      </c>
      <c r="I1058" s="919">
        <f t="shared" ref="I1058:J1089" si="119">+C1058+F1058</f>
        <v>300</v>
      </c>
      <c r="J1058" s="919">
        <f t="shared" si="119"/>
        <v>394</v>
      </c>
      <c r="K1058" s="920">
        <f t="shared" si="117"/>
        <v>1.3133333333333332</v>
      </c>
    </row>
    <row r="1059" spans="1:11" ht="24.95" customHeight="1">
      <c r="A1059" s="921" t="s">
        <v>3594</v>
      </c>
      <c r="B1059" s="922" t="s">
        <v>3595</v>
      </c>
      <c r="C1059" s="942">
        <v>400</v>
      </c>
      <c r="D1059" s="942">
        <v>357</v>
      </c>
      <c r="E1059" s="918">
        <f t="shared" ref="E1059:E1122" si="120">+D1059/C1059</f>
        <v>0.89249999999999996</v>
      </c>
      <c r="F1059" s="942"/>
      <c r="G1059" s="942">
        <v>4</v>
      </c>
      <c r="H1059" s="918" t="e">
        <f t="shared" ref="H1059:H1122" si="121">+G1059/F1059</f>
        <v>#DIV/0!</v>
      </c>
      <c r="I1059" s="919">
        <f t="shared" si="119"/>
        <v>400</v>
      </c>
      <c r="J1059" s="919">
        <f t="shared" si="119"/>
        <v>361</v>
      </c>
      <c r="K1059" s="920">
        <f t="shared" ref="K1059:K1122" si="122">+J1059/I1059</f>
        <v>0.90249999999999997</v>
      </c>
    </row>
    <row r="1060" spans="1:11" ht="24.95" customHeight="1">
      <c r="A1060" s="921" t="s">
        <v>3596</v>
      </c>
      <c r="B1060" s="922" t="s">
        <v>3597</v>
      </c>
      <c r="C1060" s="917"/>
      <c r="D1060" s="917"/>
      <c r="E1060" s="918" t="e">
        <f t="shared" si="120"/>
        <v>#DIV/0!</v>
      </c>
      <c r="F1060" s="917"/>
      <c r="G1060" s="917"/>
      <c r="H1060" s="918" t="e">
        <f t="shared" si="121"/>
        <v>#DIV/0!</v>
      </c>
      <c r="I1060" s="919">
        <f t="shared" si="119"/>
        <v>0</v>
      </c>
      <c r="J1060" s="919">
        <f t="shared" si="119"/>
        <v>0</v>
      </c>
      <c r="K1060" s="920" t="e">
        <f t="shared" si="122"/>
        <v>#DIV/0!</v>
      </c>
    </row>
    <row r="1061" spans="1:11" ht="24.95" customHeight="1">
      <c r="A1061" s="921" t="s">
        <v>3260</v>
      </c>
      <c r="B1061" s="922" t="s">
        <v>3598</v>
      </c>
      <c r="C1061" s="917"/>
      <c r="D1061" s="917"/>
      <c r="E1061" s="918" t="e">
        <f t="shared" si="120"/>
        <v>#DIV/0!</v>
      </c>
      <c r="F1061" s="917">
        <v>3</v>
      </c>
      <c r="G1061" s="917"/>
      <c r="H1061" s="918">
        <f t="shared" si="121"/>
        <v>0</v>
      </c>
      <c r="I1061" s="919">
        <f t="shared" si="119"/>
        <v>3</v>
      </c>
      <c r="J1061" s="919">
        <f t="shared" si="119"/>
        <v>0</v>
      </c>
      <c r="K1061" s="920">
        <f t="shared" si="122"/>
        <v>0</v>
      </c>
    </row>
    <row r="1062" spans="1:11" ht="24.95" customHeight="1">
      <c r="A1062" s="921" t="s">
        <v>3599</v>
      </c>
      <c r="B1062" s="922" t="s">
        <v>3600</v>
      </c>
      <c r="C1062" s="917">
        <v>15</v>
      </c>
      <c r="D1062" s="917">
        <v>6</v>
      </c>
      <c r="E1062" s="918">
        <f t="shared" si="120"/>
        <v>0.4</v>
      </c>
      <c r="F1062" s="917">
        <v>3</v>
      </c>
      <c r="G1062" s="917">
        <v>1</v>
      </c>
      <c r="H1062" s="918">
        <f t="shared" si="121"/>
        <v>0.33333333333333331</v>
      </c>
      <c r="I1062" s="919">
        <f t="shared" si="119"/>
        <v>18</v>
      </c>
      <c r="J1062" s="919">
        <f t="shared" si="119"/>
        <v>7</v>
      </c>
      <c r="K1062" s="920">
        <f t="shared" si="122"/>
        <v>0.3888888888888889</v>
      </c>
    </row>
    <row r="1063" spans="1:11" ht="24.95" customHeight="1">
      <c r="A1063" s="921" t="s">
        <v>3601</v>
      </c>
      <c r="B1063" s="922" t="s">
        <v>3602</v>
      </c>
      <c r="C1063" s="917"/>
      <c r="D1063" s="917"/>
      <c r="E1063" s="918" t="e">
        <f t="shared" si="120"/>
        <v>#DIV/0!</v>
      </c>
      <c r="F1063" s="917"/>
      <c r="G1063" s="917"/>
      <c r="H1063" s="918" t="e">
        <f t="shared" si="121"/>
        <v>#DIV/0!</v>
      </c>
      <c r="I1063" s="919">
        <f t="shared" si="119"/>
        <v>0</v>
      </c>
      <c r="J1063" s="919">
        <f t="shared" si="119"/>
        <v>0</v>
      </c>
      <c r="K1063" s="920" t="e">
        <f t="shared" si="122"/>
        <v>#DIV/0!</v>
      </c>
    </row>
    <row r="1064" spans="1:11" ht="24.95" customHeight="1">
      <c r="A1064" s="921" t="s">
        <v>3603</v>
      </c>
      <c r="B1064" s="922" t="s">
        <v>3604</v>
      </c>
      <c r="C1064" s="917">
        <v>160</v>
      </c>
      <c r="D1064" s="917">
        <v>41</v>
      </c>
      <c r="E1064" s="918">
        <f t="shared" si="120"/>
        <v>0.25624999999999998</v>
      </c>
      <c r="F1064" s="917">
        <v>60</v>
      </c>
      <c r="G1064" s="917">
        <v>25</v>
      </c>
      <c r="H1064" s="918">
        <f t="shared" si="121"/>
        <v>0.41666666666666669</v>
      </c>
      <c r="I1064" s="919">
        <f t="shared" si="119"/>
        <v>220</v>
      </c>
      <c r="J1064" s="919">
        <f t="shared" si="119"/>
        <v>66</v>
      </c>
      <c r="K1064" s="920">
        <f t="shared" si="122"/>
        <v>0.3</v>
      </c>
    </row>
    <row r="1065" spans="1:11" ht="24.95" customHeight="1">
      <c r="A1065" s="921" t="s">
        <v>3270</v>
      </c>
      <c r="B1065" s="922" t="s">
        <v>3271</v>
      </c>
      <c r="C1065" s="917"/>
      <c r="D1065" s="917"/>
      <c r="E1065" s="918" t="e">
        <f t="shared" si="120"/>
        <v>#DIV/0!</v>
      </c>
      <c r="F1065" s="917">
        <v>2</v>
      </c>
      <c r="G1065" s="917">
        <v>6</v>
      </c>
      <c r="H1065" s="918">
        <f t="shared" si="121"/>
        <v>3</v>
      </c>
      <c r="I1065" s="919">
        <f t="shared" si="119"/>
        <v>2</v>
      </c>
      <c r="J1065" s="919">
        <f t="shared" si="119"/>
        <v>6</v>
      </c>
      <c r="K1065" s="920">
        <f t="shared" si="122"/>
        <v>3</v>
      </c>
    </row>
    <row r="1066" spans="1:11" ht="24.95" customHeight="1">
      <c r="A1066" s="921" t="s">
        <v>3605</v>
      </c>
      <c r="B1066" s="922" t="s">
        <v>3606</v>
      </c>
      <c r="C1066" s="917">
        <v>10</v>
      </c>
      <c r="D1066" s="917">
        <v>3</v>
      </c>
      <c r="E1066" s="918">
        <f t="shared" si="120"/>
        <v>0.3</v>
      </c>
      <c r="F1066" s="917"/>
      <c r="G1066" s="917"/>
      <c r="H1066" s="918" t="e">
        <f t="shared" si="121"/>
        <v>#DIV/0!</v>
      </c>
      <c r="I1066" s="919">
        <f t="shared" si="119"/>
        <v>10</v>
      </c>
      <c r="J1066" s="919">
        <f t="shared" si="119"/>
        <v>3</v>
      </c>
      <c r="K1066" s="920">
        <f t="shared" si="122"/>
        <v>0.3</v>
      </c>
    </row>
    <row r="1067" spans="1:11" ht="24.95" customHeight="1">
      <c r="A1067" s="915" t="s">
        <v>3607</v>
      </c>
      <c r="B1067" s="923" t="s">
        <v>3608</v>
      </c>
      <c r="C1067" s="917"/>
      <c r="D1067" s="917">
        <v>1</v>
      </c>
      <c r="E1067" s="918" t="e">
        <f t="shared" si="120"/>
        <v>#DIV/0!</v>
      </c>
      <c r="F1067" s="917">
        <v>5</v>
      </c>
      <c r="G1067" s="917"/>
      <c r="H1067" s="918">
        <f t="shared" si="121"/>
        <v>0</v>
      </c>
      <c r="I1067" s="919">
        <f t="shared" si="119"/>
        <v>5</v>
      </c>
      <c r="J1067" s="919">
        <f t="shared" si="119"/>
        <v>1</v>
      </c>
      <c r="K1067" s="920">
        <f t="shared" si="122"/>
        <v>0.2</v>
      </c>
    </row>
    <row r="1068" spans="1:11" ht="24.95" customHeight="1">
      <c r="A1068" s="921" t="s">
        <v>3609</v>
      </c>
      <c r="B1068" s="922" t="s">
        <v>3610</v>
      </c>
      <c r="C1068" s="917">
        <v>20</v>
      </c>
      <c r="D1068" s="917">
        <v>9</v>
      </c>
      <c r="E1068" s="918">
        <f t="shared" si="120"/>
        <v>0.45</v>
      </c>
      <c r="F1068" s="917">
        <v>40</v>
      </c>
      <c r="G1068" s="917">
        <v>16</v>
      </c>
      <c r="H1068" s="918">
        <f t="shared" si="121"/>
        <v>0.4</v>
      </c>
      <c r="I1068" s="919">
        <f t="shared" si="119"/>
        <v>60</v>
      </c>
      <c r="J1068" s="919">
        <f t="shared" si="119"/>
        <v>25</v>
      </c>
      <c r="K1068" s="920">
        <f t="shared" si="122"/>
        <v>0.41666666666666669</v>
      </c>
    </row>
    <row r="1069" spans="1:11" ht="24.95" customHeight="1">
      <c r="A1069" s="921" t="s">
        <v>3611</v>
      </c>
      <c r="B1069" s="922" t="s">
        <v>3612</v>
      </c>
      <c r="C1069" s="917">
        <v>3</v>
      </c>
      <c r="D1069" s="917"/>
      <c r="E1069" s="918">
        <f t="shared" si="120"/>
        <v>0</v>
      </c>
      <c r="F1069" s="917">
        <v>30</v>
      </c>
      <c r="G1069" s="917"/>
      <c r="H1069" s="918">
        <f t="shared" si="121"/>
        <v>0</v>
      </c>
      <c r="I1069" s="919">
        <f t="shared" si="119"/>
        <v>33</v>
      </c>
      <c r="J1069" s="919">
        <f t="shared" si="119"/>
        <v>0</v>
      </c>
      <c r="K1069" s="920">
        <f t="shared" si="122"/>
        <v>0</v>
      </c>
    </row>
    <row r="1070" spans="1:11" ht="24.95" customHeight="1">
      <c r="A1070" s="921" t="s">
        <v>3613</v>
      </c>
      <c r="B1070" s="922" t="s">
        <v>3614</v>
      </c>
      <c r="C1070" s="917"/>
      <c r="D1070" s="917"/>
      <c r="E1070" s="918" t="e">
        <f t="shared" si="120"/>
        <v>#DIV/0!</v>
      </c>
      <c r="F1070" s="917">
        <v>30</v>
      </c>
      <c r="G1070" s="917">
        <v>3</v>
      </c>
      <c r="H1070" s="918">
        <f t="shared" si="121"/>
        <v>0.1</v>
      </c>
      <c r="I1070" s="919">
        <f t="shared" si="119"/>
        <v>30</v>
      </c>
      <c r="J1070" s="919">
        <f t="shared" si="119"/>
        <v>3</v>
      </c>
      <c r="K1070" s="920">
        <f t="shared" si="122"/>
        <v>0.1</v>
      </c>
    </row>
    <row r="1071" spans="1:11" ht="24.95" customHeight="1">
      <c r="A1071" s="915" t="s">
        <v>3615</v>
      </c>
      <c r="B1071" s="923" t="s">
        <v>3616</v>
      </c>
      <c r="C1071" s="917">
        <v>25</v>
      </c>
      <c r="D1071" s="917">
        <v>12</v>
      </c>
      <c r="E1071" s="918">
        <f t="shared" si="120"/>
        <v>0.48</v>
      </c>
      <c r="F1071" s="917">
        <v>2</v>
      </c>
      <c r="G1071" s="917">
        <v>1</v>
      </c>
      <c r="H1071" s="918">
        <f t="shared" si="121"/>
        <v>0.5</v>
      </c>
      <c r="I1071" s="919">
        <f t="shared" si="119"/>
        <v>27</v>
      </c>
      <c r="J1071" s="919">
        <f t="shared" si="119"/>
        <v>13</v>
      </c>
      <c r="K1071" s="920">
        <f t="shared" si="122"/>
        <v>0.48148148148148145</v>
      </c>
    </row>
    <row r="1072" spans="1:11" ht="24.95" customHeight="1">
      <c r="A1072" s="915" t="s">
        <v>3617</v>
      </c>
      <c r="B1072" s="923" t="s">
        <v>3618</v>
      </c>
      <c r="C1072" s="917">
        <v>2</v>
      </c>
      <c r="D1072" s="917"/>
      <c r="E1072" s="918">
        <f t="shared" si="120"/>
        <v>0</v>
      </c>
      <c r="F1072" s="917"/>
      <c r="G1072" s="917"/>
      <c r="H1072" s="918" t="e">
        <f t="shared" si="121"/>
        <v>#DIV/0!</v>
      </c>
      <c r="I1072" s="919">
        <f t="shared" si="119"/>
        <v>2</v>
      </c>
      <c r="J1072" s="919">
        <f t="shared" si="119"/>
        <v>0</v>
      </c>
      <c r="K1072" s="920">
        <f t="shared" si="122"/>
        <v>0</v>
      </c>
    </row>
    <row r="1073" spans="1:11" ht="24.95" customHeight="1">
      <c r="A1073" s="915" t="s">
        <v>2433</v>
      </c>
      <c r="B1073" s="923" t="s">
        <v>2434</v>
      </c>
      <c r="C1073" s="917"/>
      <c r="D1073" s="917"/>
      <c r="E1073" s="918" t="e">
        <f t="shared" si="120"/>
        <v>#DIV/0!</v>
      </c>
      <c r="F1073" s="917">
        <v>301</v>
      </c>
      <c r="G1073" s="917">
        <v>67</v>
      </c>
      <c r="H1073" s="918">
        <f t="shared" si="121"/>
        <v>0.22259136212624583</v>
      </c>
      <c r="I1073" s="919">
        <f t="shared" si="119"/>
        <v>301</v>
      </c>
      <c r="J1073" s="919">
        <f t="shared" si="119"/>
        <v>67</v>
      </c>
      <c r="K1073" s="920">
        <f t="shared" si="122"/>
        <v>0.22259136212624583</v>
      </c>
    </row>
    <row r="1074" spans="1:11" ht="24.95" customHeight="1">
      <c r="A1074" s="915" t="s">
        <v>3619</v>
      </c>
      <c r="B1074" s="923" t="s">
        <v>3620</v>
      </c>
      <c r="C1074" s="917">
        <v>1</v>
      </c>
      <c r="D1074" s="917">
        <v>1</v>
      </c>
      <c r="E1074" s="918">
        <f t="shared" si="120"/>
        <v>1</v>
      </c>
      <c r="F1074" s="917"/>
      <c r="G1074" s="917"/>
      <c r="H1074" s="918" t="e">
        <f t="shared" si="121"/>
        <v>#DIV/0!</v>
      </c>
      <c r="I1074" s="919">
        <f t="shared" si="119"/>
        <v>1</v>
      </c>
      <c r="J1074" s="919">
        <f t="shared" si="119"/>
        <v>1</v>
      </c>
      <c r="K1074" s="920">
        <f t="shared" si="122"/>
        <v>1</v>
      </c>
    </row>
    <row r="1075" spans="1:11" ht="24.95" customHeight="1">
      <c r="A1075" s="915" t="s">
        <v>3621</v>
      </c>
      <c r="B1075" s="923" t="s">
        <v>3622</v>
      </c>
      <c r="C1075" s="917">
        <v>1</v>
      </c>
      <c r="D1075" s="917">
        <v>2</v>
      </c>
      <c r="E1075" s="918">
        <f t="shared" si="120"/>
        <v>2</v>
      </c>
      <c r="F1075" s="917"/>
      <c r="G1075" s="917"/>
      <c r="H1075" s="918" t="e">
        <f t="shared" si="121"/>
        <v>#DIV/0!</v>
      </c>
      <c r="I1075" s="919">
        <f t="shared" si="119"/>
        <v>1</v>
      </c>
      <c r="J1075" s="919">
        <f t="shared" si="119"/>
        <v>2</v>
      </c>
      <c r="K1075" s="920">
        <f t="shared" si="122"/>
        <v>2</v>
      </c>
    </row>
    <row r="1076" spans="1:11" ht="24.95" customHeight="1">
      <c r="A1076" s="921" t="s">
        <v>3623</v>
      </c>
      <c r="B1076" s="922" t="s">
        <v>3624</v>
      </c>
      <c r="C1076" s="917">
        <v>970</v>
      </c>
      <c r="D1076" s="917">
        <v>391</v>
      </c>
      <c r="E1076" s="918">
        <f t="shared" si="120"/>
        <v>0.40309278350515465</v>
      </c>
      <c r="F1076" s="917">
        <v>235</v>
      </c>
      <c r="G1076" s="917">
        <f>6+130</f>
        <v>136</v>
      </c>
      <c r="H1076" s="918">
        <f t="shared" si="121"/>
        <v>0.5787234042553191</v>
      </c>
      <c r="I1076" s="919">
        <f t="shared" si="119"/>
        <v>1205</v>
      </c>
      <c r="J1076" s="919">
        <f t="shared" si="119"/>
        <v>527</v>
      </c>
      <c r="K1076" s="920">
        <f t="shared" si="122"/>
        <v>0.43734439834024896</v>
      </c>
    </row>
    <row r="1077" spans="1:11" ht="24.95" customHeight="1">
      <c r="A1077" s="921" t="s">
        <v>3625</v>
      </c>
      <c r="B1077" s="922" t="s">
        <v>3626</v>
      </c>
      <c r="C1077" s="917">
        <v>31</v>
      </c>
      <c r="D1077" s="917">
        <v>14</v>
      </c>
      <c r="E1077" s="918">
        <f t="shared" si="120"/>
        <v>0.45161290322580644</v>
      </c>
      <c r="F1077" s="917"/>
      <c r="G1077" s="917"/>
      <c r="H1077" s="918" t="e">
        <f t="shared" si="121"/>
        <v>#DIV/0!</v>
      </c>
      <c r="I1077" s="919">
        <f t="shared" si="119"/>
        <v>31</v>
      </c>
      <c r="J1077" s="919">
        <f t="shared" si="119"/>
        <v>14</v>
      </c>
      <c r="K1077" s="920">
        <f t="shared" si="122"/>
        <v>0.45161290322580644</v>
      </c>
    </row>
    <row r="1078" spans="1:11" ht="24.95" customHeight="1">
      <c r="A1078" s="921" t="s">
        <v>3627</v>
      </c>
      <c r="B1078" s="922" t="s">
        <v>3628</v>
      </c>
      <c r="C1078" s="917">
        <v>2</v>
      </c>
      <c r="D1078" s="917"/>
      <c r="E1078" s="918">
        <f t="shared" si="120"/>
        <v>0</v>
      </c>
      <c r="F1078" s="917"/>
      <c r="G1078" s="917"/>
      <c r="H1078" s="918" t="e">
        <f t="shared" si="121"/>
        <v>#DIV/0!</v>
      </c>
      <c r="I1078" s="919">
        <f t="shared" si="119"/>
        <v>2</v>
      </c>
      <c r="J1078" s="919">
        <f t="shared" si="119"/>
        <v>0</v>
      </c>
      <c r="K1078" s="920">
        <f t="shared" si="122"/>
        <v>0</v>
      </c>
    </row>
    <row r="1079" spans="1:11" ht="24.95" customHeight="1">
      <c r="A1079" s="921" t="s">
        <v>3629</v>
      </c>
      <c r="B1079" s="922" t="s">
        <v>3630</v>
      </c>
      <c r="C1079" s="917">
        <v>2</v>
      </c>
      <c r="D1079" s="917">
        <v>2</v>
      </c>
      <c r="E1079" s="918">
        <f t="shared" si="120"/>
        <v>1</v>
      </c>
      <c r="F1079" s="917"/>
      <c r="G1079" s="917"/>
      <c r="H1079" s="918" t="e">
        <f t="shared" si="121"/>
        <v>#DIV/0!</v>
      </c>
      <c r="I1079" s="919">
        <f t="shared" si="119"/>
        <v>2</v>
      </c>
      <c r="J1079" s="919">
        <f t="shared" si="119"/>
        <v>2</v>
      </c>
      <c r="K1079" s="920">
        <f t="shared" si="122"/>
        <v>1</v>
      </c>
    </row>
    <row r="1080" spans="1:11" ht="24.95" customHeight="1">
      <c r="A1080" s="921" t="s">
        <v>3631</v>
      </c>
      <c r="B1080" s="922" t="s">
        <v>3632</v>
      </c>
      <c r="C1080" s="917">
        <v>2</v>
      </c>
      <c r="D1080" s="917"/>
      <c r="E1080" s="918">
        <f t="shared" si="120"/>
        <v>0</v>
      </c>
      <c r="F1080" s="917"/>
      <c r="G1080" s="917"/>
      <c r="H1080" s="918" t="e">
        <f t="shared" si="121"/>
        <v>#DIV/0!</v>
      </c>
      <c r="I1080" s="919">
        <f t="shared" si="119"/>
        <v>2</v>
      </c>
      <c r="J1080" s="919">
        <f t="shared" si="119"/>
        <v>0</v>
      </c>
      <c r="K1080" s="920">
        <f t="shared" si="122"/>
        <v>0</v>
      </c>
    </row>
    <row r="1081" spans="1:11" ht="24.95" customHeight="1">
      <c r="A1081" s="921" t="s">
        <v>3633</v>
      </c>
      <c r="B1081" s="922" t="s">
        <v>3634</v>
      </c>
      <c r="C1081" s="917">
        <v>76</v>
      </c>
      <c r="D1081" s="917">
        <v>14</v>
      </c>
      <c r="E1081" s="918">
        <f t="shared" si="120"/>
        <v>0.18421052631578946</v>
      </c>
      <c r="F1081" s="917">
        <v>5</v>
      </c>
      <c r="G1081" s="917">
        <v>4</v>
      </c>
      <c r="H1081" s="918">
        <f t="shared" si="121"/>
        <v>0.8</v>
      </c>
      <c r="I1081" s="919">
        <f t="shared" si="119"/>
        <v>81</v>
      </c>
      <c r="J1081" s="919">
        <f t="shared" si="119"/>
        <v>18</v>
      </c>
      <c r="K1081" s="920">
        <f t="shared" si="122"/>
        <v>0.22222222222222221</v>
      </c>
    </row>
    <row r="1082" spans="1:11" ht="24.95" customHeight="1">
      <c r="A1082" s="921" t="s">
        <v>3635</v>
      </c>
      <c r="B1082" s="922" t="s">
        <v>3636</v>
      </c>
      <c r="C1082" s="917">
        <v>6</v>
      </c>
      <c r="D1082" s="917">
        <v>18</v>
      </c>
      <c r="E1082" s="918">
        <f t="shared" si="120"/>
        <v>3</v>
      </c>
      <c r="F1082" s="917"/>
      <c r="G1082" s="917">
        <v>3</v>
      </c>
      <c r="H1082" s="918" t="e">
        <f t="shared" si="121"/>
        <v>#DIV/0!</v>
      </c>
      <c r="I1082" s="919">
        <f t="shared" si="119"/>
        <v>6</v>
      </c>
      <c r="J1082" s="919">
        <f t="shared" si="119"/>
        <v>21</v>
      </c>
      <c r="K1082" s="920">
        <f t="shared" si="122"/>
        <v>3.5</v>
      </c>
    </row>
    <row r="1083" spans="1:11" ht="24.95" customHeight="1">
      <c r="A1083" s="921" t="s">
        <v>3637</v>
      </c>
      <c r="B1083" s="922" t="s">
        <v>3638</v>
      </c>
      <c r="C1083" s="917">
        <v>70</v>
      </c>
      <c r="D1083" s="917">
        <v>80</v>
      </c>
      <c r="E1083" s="918">
        <f t="shared" si="120"/>
        <v>1.1428571428571428</v>
      </c>
      <c r="F1083" s="917"/>
      <c r="G1083" s="917">
        <v>4</v>
      </c>
      <c r="H1083" s="918" t="e">
        <f t="shared" si="121"/>
        <v>#DIV/0!</v>
      </c>
      <c r="I1083" s="919">
        <f t="shared" si="119"/>
        <v>70</v>
      </c>
      <c r="J1083" s="919">
        <f t="shared" si="119"/>
        <v>84</v>
      </c>
      <c r="K1083" s="920">
        <f t="shared" si="122"/>
        <v>1.2</v>
      </c>
    </row>
    <row r="1084" spans="1:11" ht="24.95" customHeight="1">
      <c r="A1084" s="921" t="s">
        <v>3639</v>
      </c>
      <c r="B1084" s="922" t="s">
        <v>3640</v>
      </c>
      <c r="C1084" s="917">
        <v>750</v>
      </c>
      <c r="D1084" s="917">
        <f>1+375</f>
        <v>376</v>
      </c>
      <c r="E1084" s="918">
        <f t="shared" si="120"/>
        <v>0.5013333333333333</v>
      </c>
      <c r="F1084" s="917">
        <v>2</v>
      </c>
      <c r="G1084" s="917">
        <v>1</v>
      </c>
      <c r="H1084" s="918">
        <f t="shared" si="121"/>
        <v>0.5</v>
      </c>
      <c r="I1084" s="919">
        <f t="shared" si="119"/>
        <v>752</v>
      </c>
      <c r="J1084" s="919">
        <f t="shared" si="119"/>
        <v>377</v>
      </c>
      <c r="K1084" s="920">
        <f t="shared" si="122"/>
        <v>0.50132978723404253</v>
      </c>
    </row>
    <row r="1085" spans="1:11" ht="24.95" customHeight="1">
      <c r="A1085" s="921" t="s">
        <v>3641</v>
      </c>
      <c r="B1085" s="922" t="s">
        <v>3642</v>
      </c>
      <c r="C1085" s="917">
        <v>5</v>
      </c>
      <c r="D1085" s="917"/>
      <c r="E1085" s="918">
        <f t="shared" si="120"/>
        <v>0</v>
      </c>
      <c r="F1085" s="917"/>
      <c r="G1085" s="917"/>
      <c r="H1085" s="918" t="e">
        <f t="shared" si="121"/>
        <v>#DIV/0!</v>
      </c>
      <c r="I1085" s="919">
        <f t="shared" si="119"/>
        <v>5</v>
      </c>
      <c r="J1085" s="919">
        <f t="shared" si="119"/>
        <v>0</v>
      </c>
      <c r="K1085" s="920">
        <f t="shared" si="122"/>
        <v>0</v>
      </c>
    </row>
    <row r="1086" spans="1:11" ht="24.95" customHeight="1">
      <c r="A1086" s="921" t="s">
        <v>3643</v>
      </c>
      <c r="B1086" s="922" t="s">
        <v>3644</v>
      </c>
      <c r="C1086" s="917">
        <v>5</v>
      </c>
      <c r="D1086" s="917"/>
      <c r="E1086" s="918">
        <f t="shared" si="120"/>
        <v>0</v>
      </c>
      <c r="F1086" s="917"/>
      <c r="G1086" s="917"/>
      <c r="H1086" s="918" t="e">
        <f t="shared" si="121"/>
        <v>#DIV/0!</v>
      </c>
      <c r="I1086" s="919">
        <f t="shared" si="119"/>
        <v>5</v>
      </c>
      <c r="J1086" s="919">
        <f t="shared" si="119"/>
        <v>0</v>
      </c>
      <c r="K1086" s="920">
        <f t="shared" si="122"/>
        <v>0</v>
      </c>
    </row>
    <row r="1087" spans="1:11" ht="24.95" customHeight="1">
      <c r="A1087" s="921" t="s">
        <v>2873</v>
      </c>
      <c r="B1087" s="916" t="s">
        <v>2874</v>
      </c>
      <c r="C1087" s="917"/>
      <c r="D1087" s="917"/>
      <c r="E1087" s="918" t="e">
        <f t="shared" si="120"/>
        <v>#DIV/0!</v>
      </c>
      <c r="F1087" s="917">
        <v>55</v>
      </c>
      <c r="G1087" s="917">
        <v>13</v>
      </c>
      <c r="H1087" s="918">
        <f t="shared" si="121"/>
        <v>0.23636363636363636</v>
      </c>
      <c r="I1087" s="919">
        <f t="shared" si="119"/>
        <v>55</v>
      </c>
      <c r="J1087" s="919">
        <f t="shared" si="119"/>
        <v>13</v>
      </c>
      <c r="K1087" s="920">
        <f t="shared" si="122"/>
        <v>0.23636363636363636</v>
      </c>
    </row>
    <row r="1088" spans="1:11" ht="24.95" customHeight="1">
      <c r="A1088" s="921" t="s">
        <v>3645</v>
      </c>
      <c r="B1088" s="916" t="s">
        <v>3646</v>
      </c>
      <c r="C1088" s="917">
        <v>5</v>
      </c>
      <c r="D1088" s="917"/>
      <c r="E1088" s="918">
        <f t="shared" si="120"/>
        <v>0</v>
      </c>
      <c r="F1088" s="917"/>
      <c r="G1088" s="917"/>
      <c r="H1088" s="918" t="e">
        <f t="shared" si="121"/>
        <v>#DIV/0!</v>
      </c>
      <c r="I1088" s="919">
        <f t="shared" si="119"/>
        <v>5</v>
      </c>
      <c r="J1088" s="919">
        <f t="shared" si="119"/>
        <v>0</v>
      </c>
      <c r="K1088" s="920">
        <f t="shared" si="122"/>
        <v>0</v>
      </c>
    </row>
    <row r="1089" spans="1:11" ht="24.95" customHeight="1">
      <c r="A1089" s="921" t="s">
        <v>3647</v>
      </c>
      <c r="B1089" s="916" t="s">
        <v>3648</v>
      </c>
      <c r="C1089" s="917"/>
      <c r="D1089" s="917"/>
      <c r="E1089" s="918" t="e">
        <f t="shared" si="120"/>
        <v>#DIV/0!</v>
      </c>
      <c r="F1089" s="917">
        <v>1</v>
      </c>
      <c r="G1089" s="917"/>
      <c r="H1089" s="918">
        <f t="shared" si="121"/>
        <v>0</v>
      </c>
      <c r="I1089" s="919">
        <f t="shared" si="119"/>
        <v>1</v>
      </c>
      <c r="J1089" s="919">
        <f t="shared" si="119"/>
        <v>0</v>
      </c>
      <c r="K1089" s="920">
        <f t="shared" si="122"/>
        <v>0</v>
      </c>
    </row>
    <row r="1090" spans="1:11" ht="24.95" customHeight="1">
      <c r="A1090" s="921" t="s">
        <v>3649</v>
      </c>
      <c r="B1090" s="922" t="s">
        <v>3650</v>
      </c>
      <c r="C1090" s="917"/>
      <c r="D1090" s="917"/>
      <c r="E1090" s="918" t="e">
        <f t="shared" si="120"/>
        <v>#DIV/0!</v>
      </c>
      <c r="F1090" s="917"/>
      <c r="G1090" s="917"/>
      <c r="H1090" s="918" t="e">
        <f t="shared" si="121"/>
        <v>#DIV/0!</v>
      </c>
      <c r="I1090" s="919">
        <f t="shared" ref="I1090:J1121" si="123">+C1090+F1090</f>
        <v>0</v>
      </c>
      <c r="J1090" s="919">
        <f t="shared" si="123"/>
        <v>0</v>
      </c>
      <c r="K1090" s="920" t="e">
        <f t="shared" si="122"/>
        <v>#DIV/0!</v>
      </c>
    </row>
    <row r="1091" spans="1:11" ht="24.95" customHeight="1">
      <c r="A1091" s="921" t="s">
        <v>3651</v>
      </c>
      <c r="B1091" s="922" t="s">
        <v>3652</v>
      </c>
      <c r="C1091" s="917"/>
      <c r="D1091" s="917"/>
      <c r="E1091" s="918" t="e">
        <f t="shared" si="120"/>
        <v>#DIV/0!</v>
      </c>
      <c r="F1091" s="917"/>
      <c r="G1091" s="917"/>
      <c r="H1091" s="918" t="e">
        <f t="shared" si="121"/>
        <v>#DIV/0!</v>
      </c>
      <c r="I1091" s="919">
        <f t="shared" si="123"/>
        <v>0</v>
      </c>
      <c r="J1091" s="919">
        <f t="shared" si="123"/>
        <v>0</v>
      </c>
      <c r="K1091" s="920" t="e">
        <f t="shared" si="122"/>
        <v>#DIV/0!</v>
      </c>
    </row>
    <row r="1092" spans="1:11" ht="24.95" customHeight="1">
      <c r="A1092" s="921" t="s">
        <v>3653</v>
      </c>
      <c r="B1092" s="922" t="s">
        <v>3654</v>
      </c>
      <c r="C1092" s="917"/>
      <c r="D1092" s="917"/>
      <c r="E1092" s="918" t="e">
        <f t="shared" si="120"/>
        <v>#DIV/0!</v>
      </c>
      <c r="F1092" s="917"/>
      <c r="G1092" s="917"/>
      <c r="H1092" s="918" t="e">
        <f t="shared" si="121"/>
        <v>#DIV/0!</v>
      </c>
      <c r="I1092" s="919">
        <f t="shared" si="123"/>
        <v>0</v>
      </c>
      <c r="J1092" s="919">
        <f t="shared" si="123"/>
        <v>0</v>
      </c>
      <c r="K1092" s="920" t="e">
        <f t="shared" si="122"/>
        <v>#DIV/0!</v>
      </c>
    </row>
    <row r="1093" spans="1:11" ht="24.95" customHeight="1">
      <c r="A1093" s="921" t="s">
        <v>3655</v>
      </c>
      <c r="B1093" s="922" t="s">
        <v>3656</v>
      </c>
      <c r="C1093" s="917"/>
      <c r="D1093" s="917"/>
      <c r="E1093" s="918" t="e">
        <f t="shared" si="120"/>
        <v>#DIV/0!</v>
      </c>
      <c r="F1093" s="917"/>
      <c r="G1093" s="917"/>
      <c r="H1093" s="918" t="e">
        <f t="shared" si="121"/>
        <v>#DIV/0!</v>
      </c>
      <c r="I1093" s="919">
        <f t="shared" si="123"/>
        <v>0</v>
      </c>
      <c r="J1093" s="919">
        <f t="shared" si="123"/>
        <v>0</v>
      </c>
      <c r="K1093" s="920" t="e">
        <f t="shared" si="122"/>
        <v>#DIV/0!</v>
      </c>
    </row>
    <row r="1094" spans="1:11" ht="24.95" customHeight="1">
      <c r="A1094" s="921" t="s">
        <v>3657</v>
      </c>
      <c r="B1094" s="922" t="s">
        <v>3658</v>
      </c>
      <c r="C1094" s="917"/>
      <c r="D1094" s="917"/>
      <c r="E1094" s="918" t="e">
        <f t="shared" si="120"/>
        <v>#DIV/0!</v>
      </c>
      <c r="F1094" s="917"/>
      <c r="G1094" s="917"/>
      <c r="H1094" s="918" t="e">
        <f t="shared" si="121"/>
        <v>#DIV/0!</v>
      </c>
      <c r="I1094" s="919">
        <f t="shared" si="123"/>
        <v>0</v>
      </c>
      <c r="J1094" s="919">
        <f t="shared" si="123"/>
        <v>0</v>
      </c>
      <c r="K1094" s="920" t="e">
        <f t="shared" si="122"/>
        <v>#DIV/0!</v>
      </c>
    </row>
    <row r="1095" spans="1:11" ht="24.95" customHeight="1">
      <c r="A1095" s="921" t="s">
        <v>3659</v>
      </c>
      <c r="B1095" s="922" t="s">
        <v>3660</v>
      </c>
      <c r="C1095" s="917">
        <v>3</v>
      </c>
      <c r="D1095" s="917"/>
      <c r="E1095" s="918">
        <f t="shared" si="120"/>
        <v>0</v>
      </c>
      <c r="F1095" s="917"/>
      <c r="G1095" s="917"/>
      <c r="H1095" s="918" t="e">
        <f t="shared" si="121"/>
        <v>#DIV/0!</v>
      </c>
      <c r="I1095" s="919">
        <f t="shared" si="123"/>
        <v>3</v>
      </c>
      <c r="J1095" s="919">
        <f t="shared" si="123"/>
        <v>0</v>
      </c>
      <c r="K1095" s="920">
        <f t="shared" si="122"/>
        <v>0</v>
      </c>
    </row>
    <row r="1096" spans="1:11" ht="24.95" customHeight="1">
      <c r="A1096" s="921" t="s">
        <v>3661</v>
      </c>
      <c r="B1096" s="922" t="s">
        <v>3662</v>
      </c>
      <c r="C1096" s="917"/>
      <c r="D1096" s="917"/>
      <c r="E1096" s="918" t="e">
        <f t="shared" si="120"/>
        <v>#DIV/0!</v>
      </c>
      <c r="F1096" s="917"/>
      <c r="G1096" s="917"/>
      <c r="H1096" s="918" t="e">
        <f t="shared" si="121"/>
        <v>#DIV/0!</v>
      </c>
      <c r="I1096" s="919">
        <f t="shared" si="123"/>
        <v>0</v>
      </c>
      <c r="J1096" s="919">
        <f t="shared" si="123"/>
        <v>0</v>
      </c>
      <c r="K1096" s="920" t="e">
        <f t="shared" si="122"/>
        <v>#DIV/0!</v>
      </c>
    </row>
    <row r="1097" spans="1:11" ht="24.95" customHeight="1">
      <c r="A1097" s="921" t="s">
        <v>3663</v>
      </c>
      <c r="B1097" s="922" t="s">
        <v>3664</v>
      </c>
      <c r="C1097" s="917"/>
      <c r="D1097" s="917"/>
      <c r="E1097" s="918" t="e">
        <f t="shared" si="120"/>
        <v>#DIV/0!</v>
      </c>
      <c r="F1097" s="917"/>
      <c r="G1097" s="917"/>
      <c r="H1097" s="918" t="e">
        <f t="shared" si="121"/>
        <v>#DIV/0!</v>
      </c>
      <c r="I1097" s="919">
        <f t="shared" si="123"/>
        <v>0</v>
      </c>
      <c r="J1097" s="919">
        <f t="shared" si="123"/>
        <v>0</v>
      </c>
      <c r="K1097" s="920" t="e">
        <f t="shared" si="122"/>
        <v>#DIV/0!</v>
      </c>
    </row>
    <row r="1098" spans="1:11" ht="24.95" customHeight="1">
      <c r="A1098" s="921" t="s">
        <v>3665</v>
      </c>
      <c r="B1098" s="922" t="s">
        <v>3666</v>
      </c>
      <c r="C1098" s="917"/>
      <c r="D1098" s="917"/>
      <c r="E1098" s="918" t="e">
        <f t="shared" si="120"/>
        <v>#DIV/0!</v>
      </c>
      <c r="F1098" s="917"/>
      <c r="G1098" s="917"/>
      <c r="H1098" s="918" t="e">
        <f t="shared" si="121"/>
        <v>#DIV/0!</v>
      </c>
      <c r="I1098" s="919">
        <f t="shared" si="123"/>
        <v>0</v>
      </c>
      <c r="J1098" s="919">
        <f t="shared" si="123"/>
        <v>0</v>
      </c>
      <c r="K1098" s="920" t="e">
        <f t="shared" si="122"/>
        <v>#DIV/0!</v>
      </c>
    </row>
    <row r="1099" spans="1:11" ht="24.95" customHeight="1">
      <c r="A1099" s="921" t="s">
        <v>3667</v>
      </c>
      <c r="B1099" s="922" t="s">
        <v>3668</v>
      </c>
      <c r="C1099" s="917"/>
      <c r="D1099" s="917"/>
      <c r="E1099" s="918" t="e">
        <f t="shared" si="120"/>
        <v>#DIV/0!</v>
      </c>
      <c r="F1099" s="917"/>
      <c r="G1099" s="917"/>
      <c r="H1099" s="918" t="e">
        <f t="shared" si="121"/>
        <v>#DIV/0!</v>
      </c>
      <c r="I1099" s="919">
        <f t="shared" si="123"/>
        <v>0</v>
      </c>
      <c r="J1099" s="919">
        <f t="shared" si="123"/>
        <v>0</v>
      </c>
      <c r="K1099" s="920" t="e">
        <f t="shared" si="122"/>
        <v>#DIV/0!</v>
      </c>
    </row>
    <row r="1100" spans="1:11" ht="24.95" customHeight="1">
      <c r="A1100" s="921" t="s">
        <v>3669</v>
      </c>
      <c r="B1100" s="922" t="s">
        <v>3670</v>
      </c>
      <c r="C1100" s="917">
        <v>5</v>
      </c>
      <c r="D1100" s="917"/>
      <c r="E1100" s="918">
        <f t="shared" si="120"/>
        <v>0</v>
      </c>
      <c r="F1100" s="917"/>
      <c r="G1100" s="917"/>
      <c r="H1100" s="918" t="e">
        <f t="shared" si="121"/>
        <v>#DIV/0!</v>
      </c>
      <c r="I1100" s="919">
        <f t="shared" si="123"/>
        <v>5</v>
      </c>
      <c r="J1100" s="919">
        <f t="shared" si="123"/>
        <v>0</v>
      </c>
      <c r="K1100" s="920">
        <f t="shared" si="122"/>
        <v>0</v>
      </c>
    </row>
    <row r="1101" spans="1:11" ht="24.95" customHeight="1">
      <c r="A1101" s="921" t="s">
        <v>3671</v>
      </c>
      <c r="B1101" s="922" t="s">
        <v>3672</v>
      </c>
      <c r="C1101" s="917">
        <v>8</v>
      </c>
      <c r="D1101" s="917"/>
      <c r="E1101" s="918">
        <f t="shared" si="120"/>
        <v>0</v>
      </c>
      <c r="F1101" s="917"/>
      <c r="G1101" s="917"/>
      <c r="H1101" s="918" t="e">
        <f t="shared" si="121"/>
        <v>#DIV/0!</v>
      </c>
      <c r="I1101" s="919">
        <f t="shared" si="123"/>
        <v>8</v>
      </c>
      <c r="J1101" s="919">
        <f t="shared" si="123"/>
        <v>0</v>
      </c>
      <c r="K1101" s="920">
        <f t="shared" si="122"/>
        <v>0</v>
      </c>
    </row>
    <row r="1102" spans="1:11" ht="24.95" customHeight="1">
      <c r="A1102" s="921" t="s">
        <v>3673</v>
      </c>
      <c r="B1102" s="922" t="s">
        <v>3674</v>
      </c>
      <c r="C1102" s="917">
        <v>2</v>
      </c>
      <c r="D1102" s="917"/>
      <c r="E1102" s="918">
        <f t="shared" si="120"/>
        <v>0</v>
      </c>
      <c r="F1102" s="917">
        <v>175</v>
      </c>
      <c r="G1102" s="917">
        <v>215</v>
      </c>
      <c r="H1102" s="918">
        <f t="shared" si="121"/>
        <v>1.2285714285714286</v>
      </c>
      <c r="I1102" s="919">
        <f t="shared" si="123"/>
        <v>177</v>
      </c>
      <c r="J1102" s="919">
        <f t="shared" si="123"/>
        <v>215</v>
      </c>
      <c r="K1102" s="920">
        <f t="shared" si="122"/>
        <v>1.2146892655367232</v>
      </c>
    </row>
    <row r="1103" spans="1:11" ht="24.95" customHeight="1">
      <c r="A1103" s="921" t="s">
        <v>3675</v>
      </c>
      <c r="B1103" s="922" t="s">
        <v>3676</v>
      </c>
      <c r="C1103" s="917">
        <v>2363</v>
      </c>
      <c r="D1103" s="917">
        <v>779</v>
      </c>
      <c r="E1103" s="918">
        <f t="shared" si="120"/>
        <v>0.32966567922132883</v>
      </c>
      <c r="F1103" s="917">
        <v>50</v>
      </c>
      <c r="G1103" s="917">
        <f>27+38</f>
        <v>65</v>
      </c>
      <c r="H1103" s="918">
        <f t="shared" si="121"/>
        <v>1.3</v>
      </c>
      <c r="I1103" s="919">
        <f t="shared" si="123"/>
        <v>2413</v>
      </c>
      <c r="J1103" s="919">
        <f t="shared" si="123"/>
        <v>844</v>
      </c>
      <c r="K1103" s="920">
        <f t="shared" si="122"/>
        <v>0.34977206796518856</v>
      </c>
    </row>
    <row r="1104" spans="1:11" ht="24.95" customHeight="1">
      <c r="A1104" s="921" t="s">
        <v>3677</v>
      </c>
      <c r="B1104" s="922" t="s">
        <v>3678</v>
      </c>
      <c r="C1104" s="917">
        <v>153</v>
      </c>
      <c r="D1104" s="917">
        <v>36</v>
      </c>
      <c r="E1104" s="918">
        <f t="shared" si="120"/>
        <v>0.23529411764705882</v>
      </c>
      <c r="F1104" s="917"/>
      <c r="G1104" s="917"/>
      <c r="H1104" s="918" t="e">
        <f t="shared" si="121"/>
        <v>#DIV/0!</v>
      </c>
      <c r="I1104" s="919">
        <f t="shared" si="123"/>
        <v>153</v>
      </c>
      <c r="J1104" s="919">
        <f t="shared" si="123"/>
        <v>36</v>
      </c>
      <c r="K1104" s="920">
        <f t="shared" si="122"/>
        <v>0.23529411764705882</v>
      </c>
    </row>
    <row r="1105" spans="1:11" ht="24.95" customHeight="1">
      <c r="A1105" s="921" t="s">
        <v>3679</v>
      </c>
      <c r="B1105" s="922" t="s">
        <v>3680</v>
      </c>
      <c r="C1105" s="917">
        <v>70</v>
      </c>
      <c r="D1105" s="917">
        <v>12</v>
      </c>
      <c r="E1105" s="918">
        <f t="shared" si="120"/>
        <v>0.17142857142857143</v>
      </c>
      <c r="F1105" s="917">
        <v>4</v>
      </c>
      <c r="G1105" s="917"/>
      <c r="H1105" s="918">
        <f t="shared" si="121"/>
        <v>0</v>
      </c>
      <c r="I1105" s="919">
        <f t="shared" si="123"/>
        <v>74</v>
      </c>
      <c r="J1105" s="919">
        <f t="shared" si="123"/>
        <v>12</v>
      </c>
      <c r="K1105" s="920">
        <f t="shared" si="122"/>
        <v>0.16216216216216217</v>
      </c>
    </row>
    <row r="1106" spans="1:11" ht="24.95" customHeight="1">
      <c r="A1106" s="921" t="s">
        <v>3681</v>
      </c>
      <c r="B1106" s="922" t="s">
        <v>3682</v>
      </c>
      <c r="C1106" s="917"/>
      <c r="D1106" s="917"/>
      <c r="E1106" s="918" t="e">
        <f t="shared" si="120"/>
        <v>#DIV/0!</v>
      </c>
      <c r="F1106" s="917">
        <v>2</v>
      </c>
      <c r="G1106" s="917"/>
      <c r="H1106" s="918">
        <f t="shared" si="121"/>
        <v>0</v>
      </c>
      <c r="I1106" s="919">
        <f t="shared" si="123"/>
        <v>2</v>
      </c>
      <c r="J1106" s="919">
        <f t="shared" si="123"/>
        <v>0</v>
      </c>
      <c r="K1106" s="920">
        <f t="shared" si="122"/>
        <v>0</v>
      </c>
    </row>
    <row r="1107" spans="1:11" ht="24.95" customHeight="1">
      <c r="A1107" s="921" t="s">
        <v>3683</v>
      </c>
      <c r="B1107" s="922" t="s">
        <v>3684</v>
      </c>
      <c r="C1107" s="917">
        <v>5</v>
      </c>
      <c r="D1107" s="917"/>
      <c r="E1107" s="918">
        <f t="shared" si="120"/>
        <v>0</v>
      </c>
      <c r="F1107" s="917">
        <v>1</v>
      </c>
      <c r="G1107" s="917"/>
      <c r="H1107" s="918">
        <f t="shared" si="121"/>
        <v>0</v>
      </c>
      <c r="I1107" s="919">
        <f t="shared" si="123"/>
        <v>6</v>
      </c>
      <c r="J1107" s="919">
        <f t="shared" si="123"/>
        <v>0</v>
      </c>
      <c r="K1107" s="920">
        <f t="shared" si="122"/>
        <v>0</v>
      </c>
    </row>
    <row r="1108" spans="1:11" ht="24.95" customHeight="1">
      <c r="A1108" s="921" t="s">
        <v>3685</v>
      </c>
      <c r="B1108" s="922" t="s">
        <v>3686</v>
      </c>
      <c r="C1108" s="917">
        <v>2</v>
      </c>
      <c r="D1108" s="917"/>
      <c r="E1108" s="918">
        <f t="shared" si="120"/>
        <v>0</v>
      </c>
      <c r="F1108" s="917"/>
      <c r="G1108" s="917"/>
      <c r="H1108" s="918" t="e">
        <f t="shared" si="121"/>
        <v>#DIV/0!</v>
      </c>
      <c r="I1108" s="919">
        <f t="shared" si="123"/>
        <v>2</v>
      </c>
      <c r="J1108" s="919">
        <f t="shared" si="123"/>
        <v>0</v>
      </c>
      <c r="K1108" s="920">
        <f t="shared" si="122"/>
        <v>0</v>
      </c>
    </row>
    <row r="1109" spans="1:11" ht="24.95" customHeight="1">
      <c r="A1109" s="915" t="s">
        <v>3687</v>
      </c>
      <c r="B1109" s="916" t="s">
        <v>3688</v>
      </c>
      <c r="C1109" s="917">
        <v>20</v>
      </c>
      <c r="D1109" s="917">
        <v>2</v>
      </c>
      <c r="E1109" s="918">
        <f t="shared" si="120"/>
        <v>0.1</v>
      </c>
      <c r="F1109" s="917">
        <v>5</v>
      </c>
      <c r="G1109" s="917">
        <v>6</v>
      </c>
      <c r="H1109" s="918">
        <f t="shared" si="121"/>
        <v>1.2</v>
      </c>
      <c r="I1109" s="919">
        <f t="shared" si="123"/>
        <v>25</v>
      </c>
      <c r="J1109" s="919">
        <f t="shared" si="123"/>
        <v>8</v>
      </c>
      <c r="K1109" s="920">
        <f t="shared" si="122"/>
        <v>0.32</v>
      </c>
    </row>
    <row r="1110" spans="1:11" s="86" customFormat="1" ht="24.95" customHeight="1">
      <c r="A1110" s="925" t="s">
        <v>3689</v>
      </c>
      <c r="B1110" s="947" t="s">
        <v>3690</v>
      </c>
      <c r="C1110" s="948">
        <v>156</v>
      </c>
      <c r="D1110" s="948">
        <v>94</v>
      </c>
      <c r="E1110" s="918">
        <f t="shared" si="120"/>
        <v>0.60256410256410253</v>
      </c>
      <c r="F1110" s="931">
        <v>40</v>
      </c>
      <c r="G1110" s="931">
        <f>2+27</f>
        <v>29</v>
      </c>
      <c r="H1110" s="918">
        <f t="shared" si="121"/>
        <v>0.72499999999999998</v>
      </c>
      <c r="I1110" s="919">
        <f t="shared" si="123"/>
        <v>196</v>
      </c>
      <c r="J1110" s="919">
        <f t="shared" si="123"/>
        <v>123</v>
      </c>
      <c r="K1110" s="920">
        <f t="shared" si="122"/>
        <v>0.62755102040816324</v>
      </c>
    </row>
    <row r="1111" spans="1:11" ht="24.95" customHeight="1">
      <c r="A1111" s="915" t="s">
        <v>3691</v>
      </c>
      <c r="B1111" s="923" t="s">
        <v>3692</v>
      </c>
      <c r="C1111" s="917">
        <v>2</v>
      </c>
      <c r="D1111" s="917"/>
      <c r="E1111" s="918">
        <f t="shared" si="120"/>
        <v>0</v>
      </c>
      <c r="F1111" s="917">
        <v>1</v>
      </c>
      <c r="G1111" s="917"/>
      <c r="H1111" s="918">
        <f t="shared" si="121"/>
        <v>0</v>
      </c>
      <c r="I1111" s="919">
        <f t="shared" si="123"/>
        <v>3</v>
      </c>
      <c r="J1111" s="919">
        <f t="shared" si="123"/>
        <v>0</v>
      </c>
      <c r="K1111" s="920">
        <f t="shared" si="122"/>
        <v>0</v>
      </c>
    </row>
    <row r="1112" spans="1:11" ht="24.95" customHeight="1">
      <c r="A1112" s="915" t="s">
        <v>3693</v>
      </c>
      <c r="B1112" s="923" t="s">
        <v>3694</v>
      </c>
      <c r="C1112" s="917"/>
      <c r="D1112" s="917"/>
      <c r="E1112" s="918" t="e">
        <f t="shared" si="120"/>
        <v>#DIV/0!</v>
      </c>
      <c r="F1112" s="917">
        <v>1</v>
      </c>
      <c r="G1112" s="917"/>
      <c r="H1112" s="918">
        <f t="shared" si="121"/>
        <v>0</v>
      </c>
      <c r="I1112" s="919">
        <f t="shared" si="123"/>
        <v>1</v>
      </c>
      <c r="J1112" s="919">
        <f t="shared" si="123"/>
        <v>0</v>
      </c>
      <c r="K1112" s="920">
        <f t="shared" si="122"/>
        <v>0</v>
      </c>
    </row>
    <row r="1113" spans="1:11" ht="24.95" customHeight="1">
      <c r="A1113" s="921" t="s">
        <v>2437</v>
      </c>
      <c r="B1113" s="922" t="s">
        <v>2438</v>
      </c>
      <c r="C1113" s="917">
        <v>415</v>
      </c>
      <c r="D1113" s="917">
        <v>305</v>
      </c>
      <c r="E1113" s="918">
        <f t="shared" si="120"/>
        <v>0.73493975903614461</v>
      </c>
      <c r="F1113" s="917">
        <v>355</v>
      </c>
      <c r="G1113" s="917">
        <f>5+186</f>
        <v>191</v>
      </c>
      <c r="H1113" s="918">
        <f t="shared" si="121"/>
        <v>0.53802816901408446</v>
      </c>
      <c r="I1113" s="919">
        <f t="shared" si="123"/>
        <v>770</v>
      </c>
      <c r="J1113" s="919">
        <f t="shared" si="123"/>
        <v>496</v>
      </c>
      <c r="K1113" s="920">
        <f t="shared" si="122"/>
        <v>0.64415584415584415</v>
      </c>
    </row>
    <row r="1114" spans="1:11" ht="24.95" customHeight="1">
      <c r="A1114" s="921" t="s">
        <v>2439</v>
      </c>
      <c r="B1114" s="916" t="s">
        <v>2440</v>
      </c>
      <c r="C1114" s="917"/>
      <c r="D1114" s="917"/>
      <c r="E1114" s="918" t="e">
        <f t="shared" si="120"/>
        <v>#DIV/0!</v>
      </c>
      <c r="F1114" s="917">
        <v>670</v>
      </c>
      <c r="G1114" s="917">
        <f>16+262</f>
        <v>278</v>
      </c>
      <c r="H1114" s="918">
        <f t="shared" si="121"/>
        <v>0.41492537313432837</v>
      </c>
      <c r="I1114" s="919">
        <f t="shared" si="123"/>
        <v>670</v>
      </c>
      <c r="J1114" s="919">
        <f t="shared" si="123"/>
        <v>278</v>
      </c>
      <c r="K1114" s="920">
        <f t="shared" si="122"/>
        <v>0.41492537313432837</v>
      </c>
    </row>
    <row r="1115" spans="1:11" ht="24.95" customHeight="1">
      <c r="A1115" s="921" t="s">
        <v>3192</v>
      </c>
      <c r="B1115" s="916" t="s">
        <v>3695</v>
      </c>
      <c r="C1115" s="917">
        <v>1500</v>
      </c>
      <c r="D1115" s="917">
        <v>1</v>
      </c>
      <c r="E1115" s="918">
        <f t="shared" si="120"/>
        <v>6.6666666666666664E-4</v>
      </c>
      <c r="F1115" s="917"/>
      <c r="G1115" s="917">
        <v>119</v>
      </c>
      <c r="H1115" s="918" t="e">
        <f t="shared" si="121"/>
        <v>#DIV/0!</v>
      </c>
      <c r="I1115" s="919">
        <f t="shared" si="123"/>
        <v>1500</v>
      </c>
      <c r="J1115" s="919">
        <f t="shared" si="123"/>
        <v>120</v>
      </c>
      <c r="K1115" s="920">
        <f t="shared" si="122"/>
        <v>0.08</v>
      </c>
    </row>
    <row r="1116" spans="1:11" ht="24.95" customHeight="1">
      <c r="A1116" s="921" t="s">
        <v>3696</v>
      </c>
      <c r="B1116" s="916" t="s">
        <v>2899</v>
      </c>
      <c r="C1116" s="917"/>
      <c r="D1116" s="917"/>
      <c r="E1116" s="918" t="e">
        <f t="shared" si="120"/>
        <v>#DIV/0!</v>
      </c>
      <c r="F1116" s="917"/>
      <c r="G1116" s="917"/>
      <c r="H1116" s="918" t="e">
        <f t="shared" si="121"/>
        <v>#DIV/0!</v>
      </c>
      <c r="I1116" s="919">
        <f t="shared" si="123"/>
        <v>0</v>
      </c>
      <c r="J1116" s="919">
        <f t="shared" si="123"/>
        <v>0</v>
      </c>
      <c r="K1116" s="920" t="e">
        <f t="shared" si="122"/>
        <v>#DIV/0!</v>
      </c>
    </row>
    <row r="1117" spans="1:11" ht="24.95" customHeight="1">
      <c r="A1117" s="921" t="s">
        <v>3697</v>
      </c>
      <c r="B1117" s="922" t="s">
        <v>3698</v>
      </c>
      <c r="C1117" s="917">
        <v>566</v>
      </c>
      <c r="D1117" s="917">
        <v>195</v>
      </c>
      <c r="E1117" s="918">
        <f t="shared" si="120"/>
        <v>0.34452296819787986</v>
      </c>
      <c r="F1117" s="917">
        <v>100</v>
      </c>
      <c r="G1117" s="917">
        <v>100</v>
      </c>
      <c r="H1117" s="918">
        <f t="shared" si="121"/>
        <v>1</v>
      </c>
      <c r="I1117" s="919">
        <f t="shared" si="123"/>
        <v>666</v>
      </c>
      <c r="J1117" s="919">
        <f t="shared" si="123"/>
        <v>295</v>
      </c>
      <c r="K1117" s="920">
        <f t="shared" si="122"/>
        <v>0.44294294294294295</v>
      </c>
    </row>
    <row r="1118" spans="1:11" ht="24.95" customHeight="1">
      <c r="A1118" s="921" t="s">
        <v>3699</v>
      </c>
      <c r="B1118" s="922" t="s">
        <v>3700</v>
      </c>
      <c r="C1118" s="917">
        <v>15</v>
      </c>
      <c r="D1118" s="917"/>
      <c r="E1118" s="918">
        <f t="shared" si="120"/>
        <v>0</v>
      </c>
      <c r="F1118" s="917">
        <v>30</v>
      </c>
      <c r="G1118" s="917">
        <v>5</v>
      </c>
      <c r="H1118" s="918">
        <f t="shared" si="121"/>
        <v>0.16666666666666666</v>
      </c>
      <c r="I1118" s="919">
        <f t="shared" si="123"/>
        <v>45</v>
      </c>
      <c r="J1118" s="919">
        <f t="shared" si="123"/>
        <v>5</v>
      </c>
      <c r="K1118" s="920">
        <f t="shared" si="122"/>
        <v>0.1111111111111111</v>
      </c>
    </row>
    <row r="1119" spans="1:11" ht="24.95" customHeight="1">
      <c r="A1119" s="921" t="s">
        <v>3701</v>
      </c>
      <c r="B1119" s="922" t="s">
        <v>3702</v>
      </c>
      <c r="C1119" s="917">
        <v>80</v>
      </c>
      <c r="D1119" s="917">
        <v>23</v>
      </c>
      <c r="E1119" s="918">
        <f t="shared" si="120"/>
        <v>0.28749999999999998</v>
      </c>
      <c r="F1119" s="917">
        <v>125</v>
      </c>
      <c r="G1119" s="917">
        <f>1+51</f>
        <v>52</v>
      </c>
      <c r="H1119" s="918">
        <f t="shared" si="121"/>
        <v>0.41599999999999998</v>
      </c>
      <c r="I1119" s="919">
        <f t="shared" si="123"/>
        <v>205</v>
      </c>
      <c r="J1119" s="919">
        <f t="shared" si="123"/>
        <v>75</v>
      </c>
      <c r="K1119" s="920">
        <f t="shared" si="122"/>
        <v>0.36585365853658536</v>
      </c>
    </row>
    <row r="1120" spans="1:11" ht="24.95" customHeight="1">
      <c r="A1120" s="921" t="s">
        <v>3703</v>
      </c>
      <c r="B1120" s="922" t="s">
        <v>3704</v>
      </c>
      <c r="C1120" s="917">
        <v>10</v>
      </c>
      <c r="D1120" s="917">
        <v>5</v>
      </c>
      <c r="E1120" s="918">
        <f t="shared" si="120"/>
        <v>0.5</v>
      </c>
      <c r="F1120" s="917"/>
      <c r="G1120" s="917">
        <v>1</v>
      </c>
      <c r="H1120" s="918" t="e">
        <f t="shared" si="121"/>
        <v>#DIV/0!</v>
      </c>
      <c r="I1120" s="919">
        <f t="shared" si="123"/>
        <v>10</v>
      </c>
      <c r="J1120" s="919">
        <f t="shared" si="123"/>
        <v>6</v>
      </c>
      <c r="K1120" s="920">
        <f t="shared" si="122"/>
        <v>0.6</v>
      </c>
    </row>
    <row r="1121" spans="1:12" ht="24.95" customHeight="1">
      <c r="A1121" s="921" t="s">
        <v>2449</v>
      </c>
      <c r="B1121" s="922" t="s">
        <v>2450</v>
      </c>
      <c r="C1121" s="917"/>
      <c r="D1121" s="917"/>
      <c r="E1121" s="918" t="e">
        <f t="shared" si="120"/>
        <v>#DIV/0!</v>
      </c>
      <c r="F1121" s="917">
        <v>3</v>
      </c>
      <c r="G1121" s="917">
        <v>4</v>
      </c>
      <c r="H1121" s="918">
        <f t="shared" si="121"/>
        <v>1.3333333333333333</v>
      </c>
      <c r="I1121" s="919">
        <f t="shared" si="123"/>
        <v>3</v>
      </c>
      <c r="J1121" s="919">
        <f t="shared" si="123"/>
        <v>4</v>
      </c>
      <c r="K1121" s="920">
        <f t="shared" si="122"/>
        <v>1.3333333333333333</v>
      </c>
    </row>
    <row r="1122" spans="1:12" ht="24.95" customHeight="1">
      <c r="A1122" s="921" t="s">
        <v>3705</v>
      </c>
      <c r="B1122" s="922" t="s">
        <v>2452</v>
      </c>
      <c r="C1122" s="917"/>
      <c r="D1122" s="917"/>
      <c r="E1122" s="918" t="e">
        <f t="shared" si="120"/>
        <v>#DIV/0!</v>
      </c>
      <c r="F1122" s="917">
        <v>10</v>
      </c>
      <c r="G1122" s="917">
        <v>29</v>
      </c>
      <c r="H1122" s="918">
        <f t="shared" si="121"/>
        <v>2.9</v>
      </c>
      <c r="I1122" s="919">
        <f t="shared" ref="I1122:J1137" si="124">+C1122+F1122</f>
        <v>10</v>
      </c>
      <c r="J1122" s="919">
        <f t="shared" si="124"/>
        <v>29</v>
      </c>
      <c r="K1122" s="920">
        <f t="shared" si="122"/>
        <v>2.9</v>
      </c>
    </row>
    <row r="1123" spans="1:12" ht="24.95" customHeight="1">
      <c r="A1123" s="921" t="s">
        <v>2453</v>
      </c>
      <c r="B1123" s="922" t="s">
        <v>3706</v>
      </c>
      <c r="C1123" s="917">
        <v>2915</v>
      </c>
      <c r="D1123" s="917">
        <v>1229</v>
      </c>
      <c r="E1123" s="918">
        <f t="shared" ref="E1123:E1186" si="125">+D1123/C1123</f>
        <v>0.42161234991423668</v>
      </c>
      <c r="F1123" s="917">
        <v>275</v>
      </c>
      <c r="G1123" s="917">
        <f>17+168</f>
        <v>185</v>
      </c>
      <c r="H1123" s="918">
        <f t="shared" ref="H1123:H1186" si="126">+G1123/F1123</f>
        <v>0.67272727272727273</v>
      </c>
      <c r="I1123" s="919">
        <f t="shared" si="124"/>
        <v>3190</v>
      </c>
      <c r="J1123" s="919">
        <f t="shared" si="124"/>
        <v>1414</v>
      </c>
      <c r="K1123" s="920">
        <f t="shared" ref="K1123:K1186" si="127">+J1123/I1123</f>
        <v>0.44326018808777429</v>
      </c>
    </row>
    <row r="1124" spans="1:12" ht="24.95" customHeight="1">
      <c r="A1124" s="921" t="s">
        <v>2455</v>
      </c>
      <c r="B1124" s="922" t="s">
        <v>2456</v>
      </c>
      <c r="C1124" s="917"/>
      <c r="D1124" s="917"/>
      <c r="E1124" s="918" t="e">
        <f t="shared" si="125"/>
        <v>#DIV/0!</v>
      </c>
      <c r="F1124" s="917">
        <v>55</v>
      </c>
      <c r="G1124" s="917">
        <v>59</v>
      </c>
      <c r="H1124" s="918">
        <f t="shared" si="126"/>
        <v>1.0727272727272728</v>
      </c>
      <c r="I1124" s="919">
        <f t="shared" si="124"/>
        <v>55</v>
      </c>
      <c r="J1124" s="919">
        <f t="shared" si="124"/>
        <v>59</v>
      </c>
      <c r="K1124" s="920">
        <f t="shared" si="127"/>
        <v>1.0727272727272728</v>
      </c>
    </row>
    <row r="1125" spans="1:12" ht="24.95" customHeight="1">
      <c r="A1125" s="921" t="s">
        <v>2457</v>
      </c>
      <c r="B1125" s="922" t="s">
        <v>3707</v>
      </c>
      <c r="C1125" s="917">
        <v>505</v>
      </c>
      <c r="D1125" s="917">
        <v>322</v>
      </c>
      <c r="E1125" s="918">
        <f t="shared" si="125"/>
        <v>0.63762376237623763</v>
      </c>
      <c r="F1125" s="917">
        <v>65</v>
      </c>
      <c r="G1125" s="917">
        <v>64</v>
      </c>
      <c r="H1125" s="918">
        <f t="shared" si="126"/>
        <v>0.98461538461538467</v>
      </c>
      <c r="I1125" s="919">
        <f t="shared" si="124"/>
        <v>570</v>
      </c>
      <c r="J1125" s="919">
        <f t="shared" si="124"/>
        <v>386</v>
      </c>
      <c r="K1125" s="920">
        <f t="shared" si="127"/>
        <v>0.67719298245614035</v>
      </c>
    </row>
    <row r="1126" spans="1:12" ht="24.95" customHeight="1">
      <c r="A1126" s="921" t="s">
        <v>3708</v>
      </c>
      <c r="B1126" s="922" t="s">
        <v>3709</v>
      </c>
      <c r="C1126" s="917">
        <v>5</v>
      </c>
      <c r="D1126" s="917"/>
      <c r="E1126" s="918">
        <f t="shared" si="125"/>
        <v>0</v>
      </c>
      <c r="F1126" s="917">
        <v>1</v>
      </c>
      <c r="G1126" s="917">
        <v>1</v>
      </c>
      <c r="H1126" s="918">
        <f t="shared" si="126"/>
        <v>1</v>
      </c>
      <c r="I1126" s="919">
        <f t="shared" si="124"/>
        <v>6</v>
      </c>
      <c r="J1126" s="919">
        <f t="shared" si="124"/>
        <v>1</v>
      </c>
      <c r="K1126" s="920">
        <f t="shared" si="127"/>
        <v>0.16666666666666666</v>
      </c>
    </row>
    <row r="1127" spans="1:12" ht="24.95" customHeight="1">
      <c r="A1127" s="915" t="s">
        <v>2467</v>
      </c>
      <c r="B1127" s="916" t="s">
        <v>2468</v>
      </c>
      <c r="C1127" s="917"/>
      <c r="D1127" s="917"/>
      <c r="E1127" s="918" t="e">
        <f t="shared" si="125"/>
        <v>#DIV/0!</v>
      </c>
      <c r="F1127" s="917">
        <v>1</v>
      </c>
      <c r="G1127" s="917"/>
      <c r="H1127" s="918">
        <f t="shared" si="126"/>
        <v>0</v>
      </c>
      <c r="I1127" s="919">
        <f t="shared" si="124"/>
        <v>1</v>
      </c>
      <c r="J1127" s="919">
        <f t="shared" si="124"/>
        <v>0</v>
      </c>
      <c r="K1127" s="920">
        <f t="shared" si="127"/>
        <v>0</v>
      </c>
    </row>
    <row r="1128" spans="1:12" ht="24.95" customHeight="1">
      <c r="A1128" s="915" t="s">
        <v>3084</v>
      </c>
      <c r="B1128" s="916" t="s">
        <v>2470</v>
      </c>
      <c r="C1128" s="917"/>
      <c r="D1128" s="917"/>
      <c r="E1128" s="918" t="e">
        <f t="shared" si="125"/>
        <v>#DIV/0!</v>
      </c>
      <c r="F1128" s="917">
        <v>4</v>
      </c>
      <c r="G1128" s="917">
        <v>1</v>
      </c>
      <c r="H1128" s="918">
        <f t="shared" si="126"/>
        <v>0.25</v>
      </c>
      <c r="I1128" s="919">
        <f t="shared" si="124"/>
        <v>4</v>
      </c>
      <c r="J1128" s="919">
        <f t="shared" si="124"/>
        <v>1</v>
      </c>
      <c r="K1128" s="920">
        <f t="shared" si="127"/>
        <v>0.25</v>
      </c>
    </row>
    <row r="1129" spans="1:12" ht="24.95" customHeight="1">
      <c r="A1129" s="915" t="s">
        <v>2471</v>
      </c>
      <c r="B1129" s="916" t="s">
        <v>2472</v>
      </c>
      <c r="C1129" s="917"/>
      <c r="D1129" s="917"/>
      <c r="E1129" s="918" t="e">
        <f t="shared" si="125"/>
        <v>#DIV/0!</v>
      </c>
      <c r="F1129" s="917">
        <v>10</v>
      </c>
      <c r="G1129" s="917"/>
      <c r="H1129" s="918">
        <f t="shared" si="126"/>
        <v>0</v>
      </c>
      <c r="I1129" s="919">
        <f t="shared" si="124"/>
        <v>10</v>
      </c>
      <c r="J1129" s="919">
        <f t="shared" si="124"/>
        <v>0</v>
      </c>
      <c r="K1129" s="920">
        <f t="shared" si="127"/>
        <v>0</v>
      </c>
    </row>
    <row r="1130" spans="1:12" ht="24.95" customHeight="1">
      <c r="A1130" s="915" t="s">
        <v>2473</v>
      </c>
      <c r="B1130" s="916" t="s">
        <v>2474</v>
      </c>
      <c r="C1130" s="917"/>
      <c r="D1130" s="917"/>
      <c r="E1130" s="918" t="e">
        <f t="shared" si="125"/>
        <v>#DIV/0!</v>
      </c>
      <c r="F1130" s="917">
        <v>1</v>
      </c>
      <c r="G1130" s="917"/>
      <c r="H1130" s="918">
        <f t="shared" si="126"/>
        <v>0</v>
      </c>
      <c r="I1130" s="919">
        <f t="shared" si="124"/>
        <v>1</v>
      </c>
      <c r="J1130" s="919">
        <f t="shared" si="124"/>
        <v>0</v>
      </c>
      <c r="K1130" s="920">
        <f t="shared" si="127"/>
        <v>0</v>
      </c>
    </row>
    <row r="1131" spans="1:12" ht="24.95" customHeight="1">
      <c r="A1131" s="915" t="s">
        <v>2953</v>
      </c>
      <c r="B1131" s="916" t="s">
        <v>3710</v>
      </c>
      <c r="C1131" s="917">
        <v>300</v>
      </c>
      <c r="D1131" s="917">
        <v>57</v>
      </c>
      <c r="E1131" s="918">
        <f t="shared" si="125"/>
        <v>0.19</v>
      </c>
      <c r="F1131" s="917"/>
      <c r="G1131" s="917">
        <v>44</v>
      </c>
      <c r="H1131" s="918" t="e">
        <f t="shared" si="126"/>
        <v>#DIV/0!</v>
      </c>
      <c r="I1131" s="919">
        <f t="shared" si="124"/>
        <v>300</v>
      </c>
      <c r="J1131" s="919">
        <f t="shared" si="124"/>
        <v>101</v>
      </c>
      <c r="K1131" s="920">
        <f t="shared" si="127"/>
        <v>0.33666666666666667</v>
      </c>
    </row>
    <row r="1132" spans="1:12" ht="24.95" customHeight="1">
      <c r="A1132" s="915" t="s">
        <v>2955</v>
      </c>
      <c r="B1132" s="916" t="s">
        <v>3711</v>
      </c>
      <c r="C1132" s="917">
        <v>100</v>
      </c>
      <c r="D1132" s="917">
        <v>831</v>
      </c>
      <c r="E1132" s="918">
        <f t="shared" si="125"/>
        <v>8.31</v>
      </c>
      <c r="F1132" s="917"/>
      <c r="G1132" s="917">
        <f>222+7</f>
        <v>229</v>
      </c>
      <c r="H1132" s="918" t="e">
        <f t="shared" si="126"/>
        <v>#DIV/0!</v>
      </c>
      <c r="I1132" s="919"/>
      <c r="J1132" s="919">
        <f t="shared" si="124"/>
        <v>1060</v>
      </c>
      <c r="K1132" s="920" t="e">
        <f t="shared" si="127"/>
        <v>#DIV/0!</v>
      </c>
    </row>
    <row r="1133" spans="1:12" ht="24.95" customHeight="1">
      <c r="A1133" s="915" t="s">
        <v>2908</v>
      </c>
      <c r="B1133" s="916" t="s">
        <v>3712</v>
      </c>
      <c r="C1133" s="917">
        <v>100</v>
      </c>
      <c r="D1133" s="917"/>
      <c r="E1133" s="918">
        <f t="shared" si="125"/>
        <v>0</v>
      </c>
      <c r="F1133" s="917">
        <v>1</v>
      </c>
      <c r="G1133" s="917"/>
      <c r="H1133" s="918">
        <f t="shared" si="126"/>
        <v>0</v>
      </c>
      <c r="I1133" s="919">
        <f t="shared" ref="I1133:J1164" si="128">+C1133+F1133</f>
        <v>101</v>
      </c>
      <c r="J1133" s="919">
        <f t="shared" si="124"/>
        <v>0</v>
      </c>
      <c r="K1133" s="920">
        <f t="shared" si="127"/>
        <v>0</v>
      </c>
    </row>
    <row r="1134" spans="1:12" ht="24.95" customHeight="1">
      <c r="A1134" s="915" t="s">
        <v>3713</v>
      </c>
      <c r="B1134" s="916" t="s">
        <v>3714</v>
      </c>
      <c r="C1134" s="917">
        <v>2</v>
      </c>
      <c r="D1134" s="917"/>
      <c r="E1134" s="918">
        <f t="shared" si="125"/>
        <v>0</v>
      </c>
      <c r="F1134" s="917"/>
      <c r="G1134" s="917"/>
      <c r="H1134" s="918" t="e">
        <f t="shared" si="126"/>
        <v>#DIV/0!</v>
      </c>
      <c r="I1134" s="919">
        <f t="shared" si="128"/>
        <v>2</v>
      </c>
      <c r="J1134" s="919">
        <f t="shared" si="124"/>
        <v>0</v>
      </c>
      <c r="K1134" s="920">
        <f t="shared" si="127"/>
        <v>0</v>
      </c>
      <c r="L1134" s="711"/>
    </row>
    <row r="1135" spans="1:12" ht="24.95" customHeight="1">
      <c r="A1135" s="915" t="s">
        <v>3135</v>
      </c>
      <c r="B1135" s="916" t="s">
        <v>3715</v>
      </c>
      <c r="C1135" s="917"/>
      <c r="D1135" s="917"/>
      <c r="E1135" s="918" t="e">
        <f t="shared" si="125"/>
        <v>#DIV/0!</v>
      </c>
      <c r="F1135" s="917">
        <v>10</v>
      </c>
      <c r="G1135" s="917"/>
      <c r="H1135" s="918">
        <f t="shared" si="126"/>
        <v>0</v>
      </c>
      <c r="I1135" s="919">
        <f t="shared" si="128"/>
        <v>10</v>
      </c>
      <c r="J1135" s="919">
        <f t="shared" si="124"/>
        <v>0</v>
      </c>
      <c r="K1135" s="920">
        <f t="shared" si="127"/>
        <v>0</v>
      </c>
    </row>
    <row r="1136" spans="1:12" ht="24.95" customHeight="1">
      <c r="A1136" s="915" t="s">
        <v>3716</v>
      </c>
      <c r="B1136" s="916" t="s">
        <v>3717</v>
      </c>
      <c r="C1136" s="917"/>
      <c r="D1136" s="917"/>
      <c r="E1136" s="918" t="e">
        <f t="shared" si="125"/>
        <v>#DIV/0!</v>
      </c>
      <c r="F1136" s="917">
        <v>5</v>
      </c>
      <c r="G1136" s="917"/>
      <c r="H1136" s="918">
        <f t="shared" si="126"/>
        <v>0</v>
      </c>
      <c r="I1136" s="919">
        <f t="shared" si="128"/>
        <v>5</v>
      </c>
      <c r="J1136" s="919">
        <f t="shared" si="124"/>
        <v>0</v>
      </c>
      <c r="K1136" s="920">
        <f t="shared" si="127"/>
        <v>0</v>
      </c>
    </row>
    <row r="1137" spans="1:11" ht="24.95" customHeight="1">
      <c r="A1137" s="915" t="s">
        <v>3718</v>
      </c>
      <c r="B1137" s="916" t="s">
        <v>3719</v>
      </c>
      <c r="C1137" s="917">
        <v>1</v>
      </c>
      <c r="D1137" s="917"/>
      <c r="E1137" s="918">
        <f t="shared" si="125"/>
        <v>0</v>
      </c>
      <c r="F1137" s="917"/>
      <c r="G1137" s="917"/>
      <c r="H1137" s="918" t="e">
        <f t="shared" si="126"/>
        <v>#DIV/0!</v>
      </c>
      <c r="I1137" s="919">
        <f t="shared" si="128"/>
        <v>1</v>
      </c>
      <c r="J1137" s="919">
        <f t="shared" si="124"/>
        <v>0</v>
      </c>
      <c r="K1137" s="920">
        <f t="shared" si="127"/>
        <v>0</v>
      </c>
    </row>
    <row r="1138" spans="1:11" ht="24.95" customHeight="1">
      <c r="A1138" s="915" t="s">
        <v>2479</v>
      </c>
      <c r="B1138" s="916" t="s">
        <v>2480</v>
      </c>
      <c r="C1138" s="917"/>
      <c r="D1138" s="917"/>
      <c r="E1138" s="918" t="e">
        <f t="shared" si="125"/>
        <v>#DIV/0!</v>
      </c>
      <c r="F1138" s="917">
        <v>25</v>
      </c>
      <c r="G1138" s="917">
        <v>3</v>
      </c>
      <c r="H1138" s="918">
        <f t="shared" si="126"/>
        <v>0.12</v>
      </c>
      <c r="I1138" s="919">
        <f t="shared" si="128"/>
        <v>25</v>
      </c>
      <c r="J1138" s="919">
        <f t="shared" si="128"/>
        <v>3</v>
      </c>
      <c r="K1138" s="920">
        <f t="shared" si="127"/>
        <v>0.12</v>
      </c>
    </row>
    <row r="1139" spans="1:11" ht="24.95" customHeight="1">
      <c r="A1139" s="915" t="s">
        <v>3194</v>
      </c>
      <c r="B1139" s="916" t="s">
        <v>2482</v>
      </c>
      <c r="C1139" s="917"/>
      <c r="D1139" s="917"/>
      <c r="E1139" s="918" t="e">
        <f t="shared" si="125"/>
        <v>#DIV/0!</v>
      </c>
      <c r="F1139" s="917">
        <v>25</v>
      </c>
      <c r="G1139" s="917">
        <v>2</v>
      </c>
      <c r="H1139" s="918">
        <f t="shared" si="126"/>
        <v>0.08</v>
      </c>
      <c r="I1139" s="919">
        <f t="shared" si="128"/>
        <v>25</v>
      </c>
      <c r="J1139" s="919">
        <f t="shared" si="128"/>
        <v>2</v>
      </c>
      <c r="K1139" s="920">
        <f t="shared" si="127"/>
        <v>0.08</v>
      </c>
    </row>
    <row r="1140" spans="1:11" ht="24.95" customHeight="1">
      <c r="A1140" s="915" t="s">
        <v>3041</v>
      </c>
      <c r="B1140" s="916" t="s">
        <v>3042</v>
      </c>
      <c r="C1140" s="917">
        <v>625</v>
      </c>
      <c r="D1140" s="917">
        <v>292</v>
      </c>
      <c r="E1140" s="918">
        <f t="shared" si="125"/>
        <v>0.4672</v>
      </c>
      <c r="F1140" s="917">
        <v>155</v>
      </c>
      <c r="G1140" s="917">
        <v>91</v>
      </c>
      <c r="H1140" s="918">
        <f t="shared" si="126"/>
        <v>0.58709677419354833</v>
      </c>
      <c r="I1140" s="919">
        <f t="shared" si="128"/>
        <v>780</v>
      </c>
      <c r="J1140" s="919">
        <f t="shared" si="128"/>
        <v>383</v>
      </c>
      <c r="K1140" s="920">
        <f t="shared" si="127"/>
        <v>0.491025641025641</v>
      </c>
    </row>
    <row r="1141" spans="1:11" ht="24.95" customHeight="1">
      <c r="A1141" s="921" t="s">
        <v>2548</v>
      </c>
      <c r="B1141" s="922" t="s">
        <v>2549</v>
      </c>
      <c r="C1141" s="917">
        <v>60</v>
      </c>
      <c r="D1141" s="917">
        <v>33</v>
      </c>
      <c r="E1141" s="918">
        <f t="shared" si="125"/>
        <v>0.55000000000000004</v>
      </c>
      <c r="F1141" s="917">
        <v>530</v>
      </c>
      <c r="G1141" s="917">
        <v>232</v>
      </c>
      <c r="H1141" s="918">
        <f t="shared" si="126"/>
        <v>0.43773584905660379</v>
      </c>
      <c r="I1141" s="919">
        <f t="shared" si="128"/>
        <v>590</v>
      </c>
      <c r="J1141" s="919">
        <f t="shared" si="128"/>
        <v>265</v>
      </c>
      <c r="K1141" s="920">
        <f t="shared" si="127"/>
        <v>0.44915254237288138</v>
      </c>
    </row>
    <row r="1142" spans="1:11" ht="24.95" customHeight="1">
      <c r="A1142" s="921" t="s">
        <v>2554</v>
      </c>
      <c r="B1142" s="922" t="s">
        <v>2555</v>
      </c>
      <c r="C1142" s="917">
        <v>1</v>
      </c>
      <c r="D1142" s="917"/>
      <c r="E1142" s="918">
        <f t="shared" si="125"/>
        <v>0</v>
      </c>
      <c r="F1142" s="917"/>
      <c r="G1142" s="917"/>
      <c r="H1142" s="918" t="e">
        <f t="shared" si="126"/>
        <v>#DIV/0!</v>
      </c>
      <c r="I1142" s="919">
        <f t="shared" si="128"/>
        <v>1</v>
      </c>
      <c r="J1142" s="919">
        <f t="shared" si="128"/>
        <v>0</v>
      </c>
      <c r="K1142" s="920">
        <f t="shared" si="127"/>
        <v>0</v>
      </c>
    </row>
    <row r="1143" spans="1:11" ht="24.95" customHeight="1">
      <c r="A1143" s="921" t="s">
        <v>3720</v>
      </c>
      <c r="B1143" s="922" t="s">
        <v>3721</v>
      </c>
      <c r="C1143" s="917">
        <v>1</v>
      </c>
      <c r="D1143" s="917"/>
      <c r="E1143" s="918">
        <f t="shared" si="125"/>
        <v>0</v>
      </c>
      <c r="F1143" s="917"/>
      <c r="G1143" s="917"/>
      <c r="H1143" s="918" t="e">
        <f t="shared" si="126"/>
        <v>#DIV/0!</v>
      </c>
      <c r="I1143" s="919">
        <f t="shared" si="128"/>
        <v>1</v>
      </c>
      <c r="J1143" s="919">
        <f t="shared" si="128"/>
        <v>0</v>
      </c>
      <c r="K1143" s="920">
        <f t="shared" si="127"/>
        <v>0</v>
      </c>
    </row>
    <row r="1144" spans="1:11" ht="24.95" customHeight="1">
      <c r="A1144" s="921" t="s">
        <v>3722</v>
      </c>
      <c r="B1144" s="922" t="s">
        <v>3723</v>
      </c>
      <c r="C1144" s="917">
        <v>1</v>
      </c>
      <c r="D1144" s="917"/>
      <c r="E1144" s="918">
        <f t="shared" si="125"/>
        <v>0</v>
      </c>
      <c r="F1144" s="917"/>
      <c r="G1144" s="917"/>
      <c r="H1144" s="918" t="e">
        <f t="shared" si="126"/>
        <v>#DIV/0!</v>
      </c>
      <c r="I1144" s="919">
        <f t="shared" si="128"/>
        <v>1</v>
      </c>
      <c r="J1144" s="919">
        <f t="shared" si="128"/>
        <v>0</v>
      </c>
      <c r="K1144" s="920">
        <f t="shared" si="127"/>
        <v>0</v>
      </c>
    </row>
    <row r="1145" spans="1:11" ht="24.95" customHeight="1">
      <c r="A1145" s="921" t="s">
        <v>3724</v>
      </c>
      <c r="B1145" s="922" t="s">
        <v>3725</v>
      </c>
      <c r="C1145" s="917">
        <v>5</v>
      </c>
      <c r="D1145" s="917">
        <v>1</v>
      </c>
      <c r="E1145" s="918">
        <f t="shared" si="125"/>
        <v>0.2</v>
      </c>
      <c r="F1145" s="917"/>
      <c r="G1145" s="917"/>
      <c r="H1145" s="918" t="e">
        <f t="shared" si="126"/>
        <v>#DIV/0!</v>
      </c>
      <c r="I1145" s="919">
        <f t="shared" si="128"/>
        <v>5</v>
      </c>
      <c r="J1145" s="919">
        <f t="shared" si="128"/>
        <v>1</v>
      </c>
      <c r="K1145" s="920">
        <f t="shared" si="127"/>
        <v>0.2</v>
      </c>
    </row>
    <row r="1146" spans="1:11" ht="24.95" customHeight="1">
      <c r="A1146" s="921" t="s">
        <v>3090</v>
      </c>
      <c r="B1146" s="922" t="s">
        <v>3091</v>
      </c>
      <c r="C1146" s="917"/>
      <c r="D1146" s="917"/>
      <c r="E1146" s="918" t="e">
        <f t="shared" si="125"/>
        <v>#DIV/0!</v>
      </c>
      <c r="F1146" s="917">
        <v>5</v>
      </c>
      <c r="G1146" s="917"/>
      <c r="H1146" s="918">
        <f t="shared" si="126"/>
        <v>0</v>
      </c>
      <c r="I1146" s="919">
        <f t="shared" si="128"/>
        <v>5</v>
      </c>
      <c r="J1146" s="919">
        <f t="shared" si="128"/>
        <v>0</v>
      </c>
      <c r="K1146" s="920">
        <f t="shared" si="127"/>
        <v>0</v>
      </c>
    </row>
    <row r="1147" spans="1:11" ht="24.95" customHeight="1">
      <c r="A1147" s="921" t="s">
        <v>3726</v>
      </c>
      <c r="B1147" s="922" t="s">
        <v>3727</v>
      </c>
      <c r="C1147" s="917">
        <v>50</v>
      </c>
      <c r="D1147" s="917">
        <v>41</v>
      </c>
      <c r="E1147" s="918">
        <f t="shared" si="125"/>
        <v>0.82</v>
      </c>
      <c r="F1147" s="917">
        <v>5</v>
      </c>
      <c r="G1147" s="917">
        <v>4</v>
      </c>
      <c r="H1147" s="918">
        <f t="shared" si="126"/>
        <v>0.8</v>
      </c>
      <c r="I1147" s="919">
        <f t="shared" si="128"/>
        <v>55</v>
      </c>
      <c r="J1147" s="919">
        <f t="shared" si="128"/>
        <v>45</v>
      </c>
      <c r="K1147" s="920">
        <f t="shared" si="127"/>
        <v>0.81818181818181823</v>
      </c>
    </row>
    <row r="1148" spans="1:11" ht="24.95" customHeight="1">
      <c r="A1148" s="921" t="s">
        <v>3728</v>
      </c>
      <c r="B1148" s="922" t="s">
        <v>3729</v>
      </c>
      <c r="C1148" s="917">
        <v>2</v>
      </c>
      <c r="D1148" s="917">
        <v>1</v>
      </c>
      <c r="E1148" s="918">
        <f t="shared" si="125"/>
        <v>0.5</v>
      </c>
      <c r="F1148" s="917"/>
      <c r="G1148" s="917"/>
      <c r="H1148" s="918" t="e">
        <f t="shared" si="126"/>
        <v>#DIV/0!</v>
      </c>
      <c r="I1148" s="919">
        <f t="shared" si="128"/>
        <v>2</v>
      </c>
      <c r="J1148" s="919">
        <f t="shared" si="128"/>
        <v>1</v>
      </c>
      <c r="K1148" s="920">
        <f t="shared" si="127"/>
        <v>0.5</v>
      </c>
    </row>
    <row r="1149" spans="1:11" ht="24.95" customHeight="1">
      <c r="A1149" s="921" t="s">
        <v>2949</v>
      </c>
      <c r="B1149" s="916" t="s">
        <v>2950</v>
      </c>
      <c r="C1149" s="917">
        <v>75</v>
      </c>
      <c r="D1149" s="917">
        <v>78</v>
      </c>
      <c r="E1149" s="918">
        <f t="shared" si="125"/>
        <v>1.04</v>
      </c>
      <c r="F1149" s="917">
        <v>375</v>
      </c>
      <c r="G1149" s="917">
        <v>379</v>
      </c>
      <c r="H1149" s="918">
        <f t="shared" si="126"/>
        <v>1.0106666666666666</v>
      </c>
      <c r="I1149" s="919">
        <f t="shared" si="128"/>
        <v>450</v>
      </c>
      <c r="J1149" s="919">
        <f t="shared" si="128"/>
        <v>457</v>
      </c>
      <c r="K1149" s="920">
        <f t="shared" si="127"/>
        <v>1.0155555555555555</v>
      </c>
    </row>
    <row r="1150" spans="1:11" ht="24.95" customHeight="1">
      <c r="A1150" s="921" t="s">
        <v>3730</v>
      </c>
      <c r="B1150" s="916" t="s">
        <v>3731</v>
      </c>
      <c r="C1150" s="917">
        <v>1</v>
      </c>
      <c r="D1150" s="917">
        <v>3</v>
      </c>
      <c r="E1150" s="918">
        <f t="shared" si="125"/>
        <v>3</v>
      </c>
      <c r="F1150" s="917"/>
      <c r="G1150" s="917"/>
      <c r="H1150" s="918" t="e">
        <f t="shared" si="126"/>
        <v>#DIV/0!</v>
      </c>
      <c r="I1150" s="919">
        <f t="shared" si="128"/>
        <v>1</v>
      </c>
      <c r="J1150" s="919">
        <f t="shared" si="128"/>
        <v>3</v>
      </c>
      <c r="K1150" s="920">
        <f t="shared" si="127"/>
        <v>3</v>
      </c>
    </row>
    <row r="1151" spans="1:11" ht="24.95" customHeight="1">
      <c r="A1151" s="921" t="s">
        <v>3732</v>
      </c>
      <c r="B1151" s="916" t="s">
        <v>3733</v>
      </c>
      <c r="C1151" s="917">
        <v>1</v>
      </c>
      <c r="D1151" s="917">
        <v>2</v>
      </c>
      <c r="E1151" s="918">
        <f t="shared" si="125"/>
        <v>2</v>
      </c>
      <c r="F1151" s="917"/>
      <c r="G1151" s="917"/>
      <c r="H1151" s="918" t="e">
        <f t="shared" si="126"/>
        <v>#DIV/0!</v>
      </c>
      <c r="I1151" s="919">
        <f t="shared" si="128"/>
        <v>1</v>
      </c>
      <c r="J1151" s="919">
        <f t="shared" si="128"/>
        <v>2</v>
      </c>
      <c r="K1151" s="920">
        <f t="shared" si="127"/>
        <v>2</v>
      </c>
    </row>
    <row r="1152" spans="1:11" ht="24.95" customHeight="1">
      <c r="A1152" s="921" t="s">
        <v>3734</v>
      </c>
      <c r="B1152" s="916" t="s">
        <v>3735</v>
      </c>
      <c r="C1152" s="917"/>
      <c r="D1152" s="917"/>
      <c r="E1152" s="918" t="e">
        <f t="shared" si="125"/>
        <v>#DIV/0!</v>
      </c>
      <c r="F1152" s="917">
        <v>2</v>
      </c>
      <c r="G1152" s="917"/>
      <c r="H1152" s="918">
        <f t="shared" si="126"/>
        <v>0</v>
      </c>
      <c r="I1152" s="919">
        <f t="shared" si="128"/>
        <v>2</v>
      </c>
      <c r="J1152" s="919">
        <f t="shared" si="128"/>
        <v>0</v>
      </c>
      <c r="K1152" s="920">
        <f t="shared" si="127"/>
        <v>0</v>
      </c>
    </row>
    <row r="1153" spans="1:11" ht="24.95" customHeight="1">
      <c r="A1153" s="915" t="s">
        <v>3736</v>
      </c>
      <c r="B1153" s="916" t="s">
        <v>3737</v>
      </c>
      <c r="C1153" s="917">
        <v>5</v>
      </c>
      <c r="D1153" s="917"/>
      <c r="E1153" s="918">
        <f t="shared" si="125"/>
        <v>0</v>
      </c>
      <c r="F1153" s="917"/>
      <c r="G1153" s="917"/>
      <c r="H1153" s="918" t="e">
        <f t="shared" si="126"/>
        <v>#DIV/0!</v>
      </c>
      <c r="I1153" s="919">
        <f t="shared" si="128"/>
        <v>5</v>
      </c>
      <c r="J1153" s="919">
        <f t="shared" si="128"/>
        <v>0</v>
      </c>
      <c r="K1153" s="920">
        <f t="shared" si="127"/>
        <v>0</v>
      </c>
    </row>
    <row r="1154" spans="1:11" ht="24.95" customHeight="1">
      <c r="A1154" s="915" t="s">
        <v>3738</v>
      </c>
      <c r="B1154" s="916" t="s">
        <v>3739</v>
      </c>
      <c r="C1154" s="917">
        <v>305</v>
      </c>
      <c r="D1154" s="917">
        <v>140</v>
      </c>
      <c r="E1154" s="918">
        <f t="shared" si="125"/>
        <v>0.45901639344262296</v>
      </c>
      <c r="F1154" s="917"/>
      <c r="G1154" s="917">
        <v>1</v>
      </c>
      <c r="H1154" s="918" t="e">
        <f t="shared" si="126"/>
        <v>#DIV/0!</v>
      </c>
      <c r="I1154" s="919">
        <f t="shared" si="128"/>
        <v>305</v>
      </c>
      <c r="J1154" s="919">
        <f t="shared" si="128"/>
        <v>141</v>
      </c>
      <c r="K1154" s="920">
        <f t="shared" si="127"/>
        <v>0.46229508196721314</v>
      </c>
    </row>
    <row r="1155" spans="1:11" ht="24.95" customHeight="1">
      <c r="A1155" s="915" t="s">
        <v>3740</v>
      </c>
      <c r="B1155" s="916" t="s">
        <v>3741</v>
      </c>
      <c r="C1155" s="917"/>
      <c r="D1155" s="917"/>
      <c r="E1155" s="918" t="e">
        <f t="shared" si="125"/>
        <v>#DIV/0!</v>
      </c>
      <c r="F1155" s="917">
        <v>45</v>
      </c>
      <c r="G1155" s="917">
        <v>116</v>
      </c>
      <c r="H1155" s="918">
        <f t="shared" si="126"/>
        <v>2.5777777777777779</v>
      </c>
      <c r="I1155" s="919">
        <f t="shared" si="128"/>
        <v>45</v>
      </c>
      <c r="J1155" s="919">
        <f t="shared" si="128"/>
        <v>116</v>
      </c>
      <c r="K1155" s="920">
        <f t="shared" si="127"/>
        <v>2.5777777777777779</v>
      </c>
    </row>
    <row r="1156" spans="1:11" ht="24.95" customHeight="1">
      <c r="A1156" s="915" t="s">
        <v>3742</v>
      </c>
      <c r="B1156" s="916" t="s">
        <v>3743</v>
      </c>
      <c r="C1156" s="917"/>
      <c r="D1156" s="917"/>
      <c r="E1156" s="918" t="e">
        <f t="shared" si="125"/>
        <v>#DIV/0!</v>
      </c>
      <c r="F1156" s="917">
        <v>5</v>
      </c>
      <c r="G1156" s="917">
        <v>2</v>
      </c>
      <c r="H1156" s="918">
        <f t="shared" si="126"/>
        <v>0.4</v>
      </c>
      <c r="I1156" s="919">
        <f t="shared" si="128"/>
        <v>5</v>
      </c>
      <c r="J1156" s="919">
        <f t="shared" si="128"/>
        <v>2</v>
      </c>
      <c r="K1156" s="920">
        <f t="shared" si="127"/>
        <v>0.4</v>
      </c>
    </row>
    <row r="1157" spans="1:11" ht="24.95" customHeight="1">
      <c r="A1157" s="921" t="s">
        <v>3744</v>
      </c>
      <c r="B1157" s="922" t="s">
        <v>3745</v>
      </c>
      <c r="C1157" s="917"/>
      <c r="D1157" s="917"/>
      <c r="E1157" s="918" t="e">
        <f t="shared" si="125"/>
        <v>#DIV/0!</v>
      </c>
      <c r="F1157" s="917"/>
      <c r="G1157" s="917"/>
      <c r="H1157" s="918" t="e">
        <f t="shared" si="126"/>
        <v>#DIV/0!</v>
      </c>
      <c r="I1157" s="919">
        <f t="shared" si="128"/>
        <v>0</v>
      </c>
      <c r="J1157" s="919">
        <f t="shared" si="128"/>
        <v>0</v>
      </c>
      <c r="K1157" s="920" t="e">
        <f t="shared" si="127"/>
        <v>#DIV/0!</v>
      </c>
    </row>
    <row r="1158" spans="1:11" ht="24.95" customHeight="1">
      <c r="A1158" s="921" t="s">
        <v>3746</v>
      </c>
      <c r="B1158" s="922" t="s">
        <v>3747</v>
      </c>
      <c r="C1158" s="917"/>
      <c r="D1158" s="917"/>
      <c r="E1158" s="918" t="e">
        <f t="shared" si="125"/>
        <v>#DIV/0!</v>
      </c>
      <c r="F1158" s="917"/>
      <c r="G1158" s="917"/>
      <c r="H1158" s="918" t="e">
        <f t="shared" si="126"/>
        <v>#DIV/0!</v>
      </c>
      <c r="I1158" s="919">
        <f t="shared" si="128"/>
        <v>0</v>
      </c>
      <c r="J1158" s="919">
        <f t="shared" si="128"/>
        <v>0</v>
      </c>
      <c r="K1158" s="920" t="e">
        <f t="shared" si="127"/>
        <v>#DIV/0!</v>
      </c>
    </row>
    <row r="1159" spans="1:11" ht="24.95" customHeight="1">
      <c r="A1159" s="921" t="s">
        <v>3748</v>
      </c>
      <c r="B1159" s="922" t="s">
        <v>3749</v>
      </c>
      <c r="C1159" s="917"/>
      <c r="D1159" s="917"/>
      <c r="E1159" s="918" t="e">
        <f t="shared" si="125"/>
        <v>#DIV/0!</v>
      </c>
      <c r="F1159" s="917"/>
      <c r="G1159" s="917"/>
      <c r="H1159" s="918" t="e">
        <f t="shared" si="126"/>
        <v>#DIV/0!</v>
      </c>
      <c r="I1159" s="919">
        <f t="shared" si="128"/>
        <v>0</v>
      </c>
      <c r="J1159" s="919">
        <f t="shared" si="128"/>
        <v>0</v>
      </c>
      <c r="K1159" s="920" t="e">
        <f t="shared" si="127"/>
        <v>#DIV/0!</v>
      </c>
    </row>
    <row r="1160" spans="1:11" ht="24.95" customHeight="1">
      <c r="A1160" s="921" t="s">
        <v>3750</v>
      </c>
      <c r="B1160" s="922" t="s">
        <v>3751</v>
      </c>
      <c r="C1160" s="917"/>
      <c r="D1160" s="917"/>
      <c r="E1160" s="918" t="e">
        <f t="shared" si="125"/>
        <v>#DIV/0!</v>
      </c>
      <c r="F1160" s="917"/>
      <c r="G1160" s="917"/>
      <c r="H1160" s="918" t="e">
        <f t="shared" si="126"/>
        <v>#DIV/0!</v>
      </c>
      <c r="I1160" s="919">
        <f t="shared" si="128"/>
        <v>0</v>
      </c>
      <c r="J1160" s="919">
        <f t="shared" si="128"/>
        <v>0</v>
      </c>
      <c r="K1160" s="920" t="e">
        <f t="shared" si="127"/>
        <v>#DIV/0!</v>
      </c>
    </row>
    <row r="1161" spans="1:11" ht="24.95" customHeight="1">
      <c r="A1161" s="921" t="s">
        <v>3752</v>
      </c>
      <c r="B1161" s="922" t="s">
        <v>2614</v>
      </c>
      <c r="C1161" s="917"/>
      <c r="D1161" s="917">
        <v>3</v>
      </c>
      <c r="E1161" s="918" t="e">
        <f t="shared" si="125"/>
        <v>#DIV/0!</v>
      </c>
      <c r="F1161" s="917">
        <v>200</v>
      </c>
      <c r="G1161" s="917">
        <v>181</v>
      </c>
      <c r="H1161" s="918">
        <f t="shared" si="126"/>
        <v>0.90500000000000003</v>
      </c>
      <c r="I1161" s="919">
        <f t="shared" si="128"/>
        <v>200</v>
      </c>
      <c r="J1161" s="919">
        <f t="shared" si="128"/>
        <v>184</v>
      </c>
      <c r="K1161" s="920">
        <f t="shared" si="127"/>
        <v>0.92</v>
      </c>
    </row>
    <row r="1162" spans="1:11" ht="24.95" customHeight="1">
      <c r="A1162" s="921" t="s">
        <v>3201</v>
      </c>
      <c r="B1162" s="916" t="s">
        <v>3202</v>
      </c>
      <c r="C1162" s="917"/>
      <c r="D1162" s="917"/>
      <c r="E1162" s="918" t="e">
        <f t="shared" si="125"/>
        <v>#DIV/0!</v>
      </c>
      <c r="F1162" s="917">
        <v>5</v>
      </c>
      <c r="G1162" s="917">
        <v>3</v>
      </c>
      <c r="H1162" s="918">
        <f t="shared" si="126"/>
        <v>0.6</v>
      </c>
      <c r="I1162" s="919">
        <f t="shared" si="128"/>
        <v>5</v>
      </c>
      <c r="J1162" s="919">
        <f t="shared" si="128"/>
        <v>3</v>
      </c>
      <c r="K1162" s="920">
        <f t="shared" si="127"/>
        <v>0.6</v>
      </c>
    </row>
    <row r="1163" spans="1:11" ht="24.95" customHeight="1">
      <c r="A1163" s="921" t="s">
        <v>2327</v>
      </c>
      <c r="B1163" s="916" t="s">
        <v>2328</v>
      </c>
      <c r="C1163" s="917">
        <v>3</v>
      </c>
      <c r="D1163" s="917"/>
      <c r="E1163" s="918">
        <f t="shared" si="125"/>
        <v>0</v>
      </c>
      <c r="F1163" s="917">
        <v>760</v>
      </c>
      <c r="G1163" s="917">
        <f>160+22</f>
        <v>182</v>
      </c>
      <c r="H1163" s="918">
        <f t="shared" si="126"/>
        <v>0.23947368421052631</v>
      </c>
      <c r="I1163" s="919">
        <f t="shared" si="128"/>
        <v>763</v>
      </c>
      <c r="J1163" s="919">
        <f t="shared" si="128"/>
        <v>182</v>
      </c>
      <c r="K1163" s="920">
        <f t="shared" si="127"/>
        <v>0.23853211009174313</v>
      </c>
    </row>
    <row r="1164" spans="1:11" ht="24.95" customHeight="1">
      <c r="A1164" s="949" t="s">
        <v>2176</v>
      </c>
      <c r="B1164" s="916" t="s">
        <v>2177</v>
      </c>
      <c r="C1164" s="917">
        <v>2</v>
      </c>
      <c r="D1164" s="917">
        <v>1</v>
      </c>
      <c r="E1164" s="918">
        <f t="shared" si="125"/>
        <v>0.5</v>
      </c>
      <c r="F1164" s="917">
        <v>154</v>
      </c>
      <c r="G1164" s="917">
        <f>26+6</f>
        <v>32</v>
      </c>
      <c r="H1164" s="918">
        <f t="shared" si="126"/>
        <v>0.20779220779220781</v>
      </c>
      <c r="I1164" s="919">
        <f t="shared" si="128"/>
        <v>156</v>
      </c>
      <c r="J1164" s="919">
        <f t="shared" si="128"/>
        <v>33</v>
      </c>
      <c r="K1164" s="920">
        <f t="shared" si="127"/>
        <v>0.21153846153846154</v>
      </c>
    </row>
    <row r="1165" spans="1:11" ht="24.95" customHeight="1">
      <c r="A1165" s="949" t="s">
        <v>2627</v>
      </c>
      <c r="B1165" s="916" t="s">
        <v>2628</v>
      </c>
      <c r="C1165" s="917"/>
      <c r="D1165" s="917"/>
      <c r="E1165" s="918" t="e">
        <f t="shared" si="125"/>
        <v>#DIV/0!</v>
      </c>
      <c r="F1165" s="917">
        <v>1</v>
      </c>
      <c r="G1165" s="917"/>
      <c r="H1165" s="918">
        <f t="shared" si="126"/>
        <v>0</v>
      </c>
      <c r="I1165" s="919">
        <f t="shared" ref="I1165:J1188" si="129">+C1165+F1165</f>
        <v>1</v>
      </c>
      <c r="J1165" s="919">
        <f t="shared" si="129"/>
        <v>0</v>
      </c>
      <c r="K1165" s="920">
        <f t="shared" si="127"/>
        <v>0</v>
      </c>
    </row>
    <row r="1166" spans="1:11" ht="24.95" customHeight="1">
      <c r="A1166" s="949" t="s">
        <v>3753</v>
      </c>
      <c r="B1166" s="916" t="s">
        <v>3754</v>
      </c>
      <c r="C1166" s="917"/>
      <c r="D1166" s="917"/>
      <c r="E1166" s="918" t="e">
        <f t="shared" si="125"/>
        <v>#DIV/0!</v>
      </c>
      <c r="F1166" s="917">
        <v>3</v>
      </c>
      <c r="G1166" s="917"/>
      <c r="H1166" s="918">
        <f t="shared" si="126"/>
        <v>0</v>
      </c>
      <c r="I1166" s="919">
        <f t="shared" si="129"/>
        <v>3</v>
      </c>
      <c r="J1166" s="919">
        <f t="shared" si="129"/>
        <v>0</v>
      </c>
      <c r="K1166" s="920">
        <f t="shared" si="127"/>
        <v>0</v>
      </c>
    </row>
    <row r="1167" spans="1:11" ht="24.95" customHeight="1">
      <c r="A1167" s="949" t="s">
        <v>3046</v>
      </c>
      <c r="B1167" s="916" t="s">
        <v>3755</v>
      </c>
      <c r="C1167" s="917"/>
      <c r="D1167" s="917"/>
      <c r="E1167" s="918" t="e">
        <f t="shared" si="125"/>
        <v>#DIV/0!</v>
      </c>
      <c r="F1167" s="917">
        <v>2</v>
      </c>
      <c r="G1167" s="917"/>
      <c r="H1167" s="918">
        <f t="shared" si="126"/>
        <v>0</v>
      </c>
      <c r="I1167" s="919">
        <f t="shared" si="129"/>
        <v>2</v>
      </c>
      <c r="J1167" s="919">
        <f t="shared" si="129"/>
        <v>0</v>
      </c>
      <c r="K1167" s="920">
        <f t="shared" si="127"/>
        <v>0</v>
      </c>
    </row>
    <row r="1168" spans="1:11" ht="24.95" customHeight="1">
      <c r="A1168" s="921" t="s">
        <v>2620</v>
      </c>
      <c r="B1168" s="916" t="s">
        <v>2621</v>
      </c>
      <c r="C1168" s="917">
        <v>6</v>
      </c>
      <c r="D1168" s="917">
        <v>3</v>
      </c>
      <c r="E1168" s="918">
        <f t="shared" si="125"/>
        <v>0.5</v>
      </c>
      <c r="F1168" s="917">
        <v>1490</v>
      </c>
      <c r="G1168" s="917">
        <f>411+47</f>
        <v>458</v>
      </c>
      <c r="H1168" s="918">
        <f t="shared" si="126"/>
        <v>0.30738255033557049</v>
      </c>
      <c r="I1168" s="919">
        <f t="shared" si="129"/>
        <v>1496</v>
      </c>
      <c r="J1168" s="919">
        <f t="shared" si="129"/>
        <v>461</v>
      </c>
      <c r="K1168" s="920">
        <f t="shared" si="127"/>
        <v>0.30815508021390375</v>
      </c>
    </row>
    <row r="1169" spans="1:11" ht="24.95" customHeight="1">
      <c r="A1169" s="915" t="s">
        <v>2624</v>
      </c>
      <c r="B1169" s="916" t="s">
        <v>2330</v>
      </c>
      <c r="C1169" s="917">
        <v>2</v>
      </c>
      <c r="D1169" s="917"/>
      <c r="E1169" s="918">
        <f t="shared" si="125"/>
        <v>0</v>
      </c>
      <c r="F1169" s="917">
        <v>6345</v>
      </c>
      <c r="G1169" s="917">
        <f>2506+178</f>
        <v>2684</v>
      </c>
      <c r="H1169" s="918">
        <f t="shared" si="126"/>
        <v>0.42301024428684003</v>
      </c>
      <c r="I1169" s="919">
        <f t="shared" si="129"/>
        <v>6347</v>
      </c>
      <c r="J1169" s="919">
        <f t="shared" si="129"/>
        <v>2684</v>
      </c>
      <c r="K1169" s="920">
        <f t="shared" si="127"/>
        <v>0.42287694974003465</v>
      </c>
    </row>
    <row r="1170" spans="1:11" ht="24.95" customHeight="1">
      <c r="A1170" s="915" t="s">
        <v>2331</v>
      </c>
      <c r="B1170" s="916" t="s">
        <v>2332</v>
      </c>
      <c r="C1170" s="917"/>
      <c r="D1170" s="917"/>
      <c r="E1170" s="918" t="e">
        <f t="shared" si="125"/>
        <v>#DIV/0!</v>
      </c>
      <c r="F1170" s="917">
        <v>850</v>
      </c>
      <c r="G1170" s="917">
        <f>256+44</f>
        <v>300</v>
      </c>
      <c r="H1170" s="918">
        <f t="shared" si="126"/>
        <v>0.35294117647058826</v>
      </c>
      <c r="I1170" s="919">
        <f t="shared" si="129"/>
        <v>850</v>
      </c>
      <c r="J1170" s="919">
        <f t="shared" si="129"/>
        <v>300</v>
      </c>
      <c r="K1170" s="920">
        <f t="shared" si="127"/>
        <v>0.35294117647058826</v>
      </c>
    </row>
    <row r="1171" spans="1:11" ht="24.95" customHeight="1">
      <c r="A1171" s="915" t="s">
        <v>2629</v>
      </c>
      <c r="B1171" s="916" t="s">
        <v>2630</v>
      </c>
      <c r="C1171" s="917"/>
      <c r="D1171" s="917"/>
      <c r="E1171" s="918" t="e">
        <f t="shared" si="125"/>
        <v>#DIV/0!</v>
      </c>
      <c r="F1171" s="917">
        <v>70</v>
      </c>
      <c r="G1171" s="917">
        <v>13</v>
      </c>
      <c r="H1171" s="918">
        <f t="shared" si="126"/>
        <v>0.18571428571428572</v>
      </c>
      <c r="I1171" s="919">
        <f t="shared" si="129"/>
        <v>70</v>
      </c>
      <c r="J1171" s="919">
        <f t="shared" si="129"/>
        <v>13</v>
      </c>
      <c r="K1171" s="920">
        <f t="shared" si="127"/>
        <v>0.18571428571428572</v>
      </c>
    </row>
    <row r="1172" spans="1:11" ht="24.95" customHeight="1">
      <c r="A1172" s="915" t="s">
        <v>2631</v>
      </c>
      <c r="B1172" s="916" t="s">
        <v>2632</v>
      </c>
      <c r="C1172" s="917">
        <v>2</v>
      </c>
      <c r="D1172" s="917"/>
      <c r="E1172" s="918">
        <f t="shared" si="125"/>
        <v>0</v>
      </c>
      <c r="F1172" s="917">
        <v>1665</v>
      </c>
      <c r="G1172" s="917">
        <f>865+123</f>
        <v>988</v>
      </c>
      <c r="H1172" s="918">
        <f t="shared" si="126"/>
        <v>0.59339339339339336</v>
      </c>
      <c r="I1172" s="919">
        <f t="shared" si="129"/>
        <v>1667</v>
      </c>
      <c r="J1172" s="919">
        <f t="shared" si="129"/>
        <v>988</v>
      </c>
      <c r="K1172" s="920">
        <f t="shared" si="127"/>
        <v>0.59268146370725849</v>
      </c>
    </row>
    <row r="1173" spans="1:11" ht="24.95" customHeight="1">
      <c r="A1173" s="915" t="s">
        <v>2178</v>
      </c>
      <c r="B1173" s="916" t="s">
        <v>2179</v>
      </c>
      <c r="C1173" s="917">
        <v>1</v>
      </c>
      <c r="D1173" s="917"/>
      <c r="E1173" s="918">
        <f t="shared" si="125"/>
        <v>0</v>
      </c>
      <c r="F1173" s="917">
        <v>1070</v>
      </c>
      <c r="G1173" s="917">
        <f>686+93</f>
        <v>779</v>
      </c>
      <c r="H1173" s="918">
        <f t="shared" si="126"/>
        <v>0.72803738317757005</v>
      </c>
      <c r="I1173" s="919">
        <f t="shared" si="129"/>
        <v>1071</v>
      </c>
      <c r="J1173" s="919">
        <f t="shared" si="129"/>
        <v>779</v>
      </c>
      <c r="K1173" s="920">
        <f t="shared" si="127"/>
        <v>0.72735760971055086</v>
      </c>
    </row>
    <row r="1174" spans="1:11" ht="24.95" customHeight="1">
      <c r="A1174" s="915" t="s">
        <v>2963</v>
      </c>
      <c r="B1174" s="916" t="s">
        <v>2964</v>
      </c>
      <c r="C1174" s="917"/>
      <c r="D1174" s="917"/>
      <c r="E1174" s="918" t="e">
        <f t="shared" si="125"/>
        <v>#DIV/0!</v>
      </c>
      <c r="F1174" s="917">
        <v>2</v>
      </c>
      <c r="G1174" s="917"/>
      <c r="H1174" s="918">
        <f t="shared" si="126"/>
        <v>0</v>
      </c>
      <c r="I1174" s="919">
        <f t="shared" si="129"/>
        <v>2</v>
      </c>
      <c r="J1174" s="919">
        <f t="shared" si="129"/>
        <v>0</v>
      </c>
      <c r="K1174" s="920">
        <f t="shared" si="127"/>
        <v>0</v>
      </c>
    </row>
    <row r="1175" spans="1:11" ht="24.95" customHeight="1">
      <c r="A1175" s="915" t="s">
        <v>2633</v>
      </c>
      <c r="B1175" s="916" t="s">
        <v>2965</v>
      </c>
      <c r="C1175" s="917"/>
      <c r="D1175" s="917"/>
      <c r="E1175" s="918" t="e">
        <f t="shared" si="125"/>
        <v>#DIV/0!</v>
      </c>
      <c r="F1175" s="917">
        <v>95</v>
      </c>
      <c r="G1175" s="917">
        <v>41</v>
      </c>
      <c r="H1175" s="918">
        <f t="shared" si="126"/>
        <v>0.43157894736842106</v>
      </c>
      <c r="I1175" s="919">
        <f t="shared" si="129"/>
        <v>95</v>
      </c>
      <c r="J1175" s="919">
        <f t="shared" si="129"/>
        <v>41</v>
      </c>
      <c r="K1175" s="920">
        <f t="shared" si="127"/>
        <v>0.43157894736842106</v>
      </c>
    </row>
    <row r="1176" spans="1:11" ht="24.95" customHeight="1">
      <c r="A1176" s="915" t="s">
        <v>2637</v>
      </c>
      <c r="B1176" s="916" t="s">
        <v>2638</v>
      </c>
      <c r="C1176" s="917"/>
      <c r="D1176" s="917"/>
      <c r="E1176" s="918" t="e">
        <f t="shared" si="125"/>
        <v>#DIV/0!</v>
      </c>
      <c r="F1176" s="917">
        <v>145</v>
      </c>
      <c r="G1176" s="917">
        <v>13</v>
      </c>
      <c r="H1176" s="918">
        <f t="shared" si="126"/>
        <v>8.9655172413793102E-2</v>
      </c>
      <c r="I1176" s="919">
        <f t="shared" si="129"/>
        <v>145</v>
      </c>
      <c r="J1176" s="919">
        <f t="shared" si="129"/>
        <v>13</v>
      </c>
      <c r="K1176" s="920">
        <f t="shared" si="127"/>
        <v>8.9655172413793102E-2</v>
      </c>
    </row>
    <row r="1177" spans="1:11" ht="24.95" customHeight="1">
      <c r="A1177" s="915" t="s">
        <v>2639</v>
      </c>
      <c r="B1177" s="916" t="s">
        <v>2640</v>
      </c>
      <c r="C1177" s="917"/>
      <c r="D1177" s="917"/>
      <c r="E1177" s="918" t="e">
        <f t="shared" si="125"/>
        <v>#DIV/0!</v>
      </c>
      <c r="F1177" s="917">
        <v>4</v>
      </c>
      <c r="G1177" s="917">
        <v>1</v>
      </c>
      <c r="H1177" s="918">
        <f t="shared" si="126"/>
        <v>0.25</v>
      </c>
      <c r="I1177" s="919">
        <f t="shared" si="129"/>
        <v>4</v>
      </c>
      <c r="J1177" s="919">
        <f t="shared" si="129"/>
        <v>1</v>
      </c>
      <c r="K1177" s="920">
        <f t="shared" si="127"/>
        <v>0.25</v>
      </c>
    </row>
    <row r="1178" spans="1:11" ht="24.95" customHeight="1">
      <c r="A1178" s="915" t="s">
        <v>3756</v>
      </c>
      <c r="B1178" s="916" t="s">
        <v>3757</v>
      </c>
      <c r="C1178" s="917"/>
      <c r="D1178" s="917"/>
      <c r="E1178" s="918" t="e">
        <f t="shared" si="125"/>
        <v>#DIV/0!</v>
      </c>
      <c r="F1178" s="917">
        <v>2</v>
      </c>
      <c r="G1178" s="917">
        <v>8</v>
      </c>
      <c r="H1178" s="918">
        <f t="shared" si="126"/>
        <v>4</v>
      </c>
      <c r="I1178" s="919">
        <f t="shared" si="129"/>
        <v>2</v>
      </c>
      <c r="J1178" s="919">
        <f t="shared" si="129"/>
        <v>8</v>
      </c>
      <c r="K1178" s="920">
        <f t="shared" si="127"/>
        <v>4</v>
      </c>
    </row>
    <row r="1179" spans="1:11" ht="24.95" customHeight="1">
      <c r="A1179" s="915" t="s">
        <v>3758</v>
      </c>
      <c r="B1179" s="916" t="s">
        <v>3759</v>
      </c>
      <c r="C1179" s="917"/>
      <c r="D1179" s="917"/>
      <c r="E1179" s="918" t="e">
        <f t="shared" si="125"/>
        <v>#DIV/0!</v>
      </c>
      <c r="F1179" s="917">
        <v>2</v>
      </c>
      <c r="G1179" s="917"/>
      <c r="H1179" s="918">
        <f t="shared" si="126"/>
        <v>0</v>
      </c>
      <c r="I1179" s="919">
        <f t="shared" si="129"/>
        <v>2</v>
      </c>
      <c r="J1179" s="919">
        <f t="shared" si="129"/>
        <v>0</v>
      </c>
      <c r="K1179" s="920">
        <f t="shared" si="127"/>
        <v>0</v>
      </c>
    </row>
    <row r="1180" spans="1:11" ht="24.95" customHeight="1">
      <c r="A1180" s="915" t="s">
        <v>2971</v>
      </c>
      <c r="B1180" s="916" t="s">
        <v>3207</v>
      </c>
      <c r="C1180" s="917"/>
      <c r="D1180" s="917"/>
      <c r="E1180" s="918" t="e">
        <f t="shared" si="125"/>
        <v>#DIV/0!</v>
      </c>
      <c r="F1180" s="917">
        <v>3</v>
      </c>
      <c r="G1180" s="917">
        <v>3</v>
      </c>
      <c r="H1180" s="918">
        <f t="shared" si="126"/>
        <v>1</v>
      </c>
      <c r="I1180" s="919">
        <f t="shared" si="129"/>
        <v>3</v>
      </c>
      <c r="J1180" s="919">
        <f t="shared" si="129"/>
        <v>3</v>
      </c>
      <c r="K1180" s="920">
        <f t="shared" si="127"/>
        <v>1</v>
      </c>
    </row>
    <row r="1181" spans="1:11" ht="24.95" customHeight="1">
      <c r="A1181" s="915" t="s">
        <v>2643</v>
      </c>
      <c r="B1181" s="916" t="s">
        <v>3207</v>
      </c>
      <c r="C1181" s="917"/>
      <c r="D1181" s="917"/>
      <c r="E1181" s="918" t="e">
        <f t="shared" si="125"/>
        <v>#DIV/0!</v>
      </c>
      <c r="F1181" s="917">
        <v>2</v>
      </c>
      <c r="G1181" s="917"/>
      <c r="H1181" s="918">
        <f t="shared" si="126"/>
        <v>0</v>
      </c>
      <c r="I1181" s="919">
        <f t="shared" si="129"/>
        <v>2</v>
      </c>
      <c r="J1181" s="919">
        <f t="shared" si="129"/>
        <v>0</v>
      </c>
      <c r="K1181" s="920">
        <f t="shared" si="127"/>
        <v>0</v>
      </c>
    </row>
    <row r="1182" spans="1:11" ht="24.95" customHeight="1">
      <c r="A1182" s="915" t="s">
        <v>2974</v>
      </c>
      <c r="B1182" s="916" t="s">
        <v>3760</v>
      </c>
      <c r="C1182" s="917"/>
      <c r="D1182" s="917"/>
      <c r="E1182" s="918" t="e">
        <f t="shared" si="125"/>
        <v>#DIV/0!</v>
      </c>
      <c r="F1182" s="917">
        <v>2</v>
      </c>
      <c r="G1182" s="917">
        <v>1</v>
      </c>
      <c r="H1182" s="918">
        <f t="shared" si="126"/>
        <v>0.5</v>
      </c>
      <c r="I1182" s="919">
        <f t="shared" si="129"/>
        <v>2</v>
      </c>
      <c r="J1182" s="919">
        <f t="shared" si="129"/>
        <v>1</v>
      </c>
      <c r="K1182" s="920">
        <f t="shared" si="127"/>
        <v>0.5</v>
      </c>
    </row>
    <row r="1183" spans="1:11" ht="24.95" customHeight="1">
      <c r="A1183" s="915" t="s">
        <v>3761</v>
      </c>
      <c r="B1183" s="916" t="s">
        <v>3762</v>
      </c>
      <c r="C1183" s="917"/>
      <c r="D1183" s="917"/>
      <c r="E1183" s="918" t="e">
        <f t="shared" si="125"/>
        <v>#DIV/0!</v>
      </c>
      <c r="F1183" s="917">
        <v>5</v>
      </c>
      <c r="G1183" s="917"/>
      <c r="H1183" s="918">
        <f t="shared" si="126"/>
        <v>0</v>
      </c>
      <c r="I1183" s="919">
        <f t="shared" si="129"/>
        <v>5</v>
      </c>
      <c r="J1183" s="919">
        <f t="shared" si="129"/>
        <v>0</v>
      </c>
      <c r="K1183" s="920">
        <f t="shared" si="127"/>
        <v>0</v>
      </c>
    </row>
    <row r="1184" spans="1:11" ht="24.95" customHeight="1">
      <c r="A1184" s="915" t="s">
        <v>2645</v>
      </c>
      <c r="B1184" s="916" t="s">
        <v>2646</v>
      </c>
      <c r="C1184" s="917">
        <v>5</v>
      </c>
      <c r="D1184" s="917">
        <v>1</v>
      </c>
      <c r="E1184" s="918">
        <f t="shared" si="125"/>
        <v>0.2</v>
      </c>
      <c r="F1184" s="917">
        <v>595</v>
      </c>
      <c r="G1184" s="917">
        <v>279</v>
      </c>
      <c r="H1184" s="918">
        <f t="shared" si="126"/>
        <v>0.46890756302521008</v>
      </c>
      <c r="I1184" s="919">
        <f t="shared" si="129"/>
        <v>600</v>
      </c>
      <c r="J1184" s="919">
        <f t="shared" si="129"/>
        <v>280</v>
      </c>
      <c r="K1184" s="920">
        <f t="shared" si="127"/>
        <v>0.46666666666666667</v>
      </c>
    </row>
    <row r="1185" spans="1:11" ht="24.95" customHeight="1">
      <c r="A1185" s="915" t="s">
        <v>2649</v>
      </c>
      <c r="B1185" s="916" t="s">
        <v>2650</v>
      </c>
      <c r="C1185" s="917"/>
      <c r="D1185" s="917"/>
      <c r="E1185" s="918" t="e">
        <f t="shared" si="125"/>
        <v>#DIV/0!</v>
      </c>
      <c r="F1185" s="917">
        <v>6</v>
      </c>
      <c r="G1185" s="917">
        <f>16+8</f>
        <v>24</v>
      </c>
      <c r="H1185" s="918">
        <f t="shared" si="126"/>
        <v>4</v>
      </c>
      <c r="I1185" s="919">
        <f t="shared" si="129"/>
        <v>6</v>
      </c>
      <c r="J1185" s="919">
        <f t="shared" si="129"/>
        <v>24</v>
      </c>
      <c r="K1185" s="920">
        <f t="shared" si="127"/>
        <v>4</v>
      </c>
    </row>
    <row r="1186" spans="1:11" ht="24.95" customHeight="1">
      <c r="A1186" s="915" t="s">
        <v>3763</v>
      </c>
      <c r="B1186" s="916" t="s">
        <v>3764</v>
      </c>
      <c r="C1186" s="917"/>
      <c r="D1186" s="917"/>
      <c r="E1186" s="918" t="e">
        <f t="shared" si="125"/>
        <v>#DIV/0!</v>
      </c>
      <c r="F1186" s="917">
        <v>1</v>
      </c>
      <c r="G1186" s="917"/>
      <c r="H1186" s="918">
        <f t="shared" si="126"/>
        <v>0</v>
      </c>
      <c r="I1186" s="919">
        <f t="shared" si="129"/>
        <v>1</v>
      </c>
      <c r="J1186" s="919">
        <f t="shared" si="129"/>
        <v>0</v>
      </c>
      <c r="K1186" s="920">
        <f t="shared" si="127"/>
        <v>0</v>
      </c>
    </row>
    <row r="1187" spans="1:11" ht="24.95" customHeight="1">
      <c r="A1187" s="915" t="s">
        <v>3765</v>
      </c>
      <c r="B1187" s="916" t="s">
        <v>3766</v>
      </c>
      <c r="C1187" s="917"/>
      <c r="D1187" s="917"/>
      <c r="E1187" s="918" t="e">
        <f t="shared" ref="E1187:E1192" si="130">+D1187/C1187</f>
        <v>#DIV/0!</v>
      </c>
      <c r="F1187" s="917">
        <v>1</v>
      </c>
      <c r="G1187" s="917"/>
      <c r="H1187" s="918">
        <f t="shared" ref="H1187:H1192" si="131">+G1187/F1187</f>
        <v>0</v>
      </c>
      <c r="I1187" s="919">
        <f t="shared" si="129"/>
        <v>1</v>
      </c>
      <c r="J1187" s="919">
        <f t="shared" si="129"/>
        <v>0</v>
      </c>
      <c r="K1187" s="920">
        <f t="shared" ref="K1187:K1192" si="132">+J1187/I1187</f>
        <v>0</v>
      </c>
    </row>
    <row r="1188" spans="1:11" ht="24.95" customHeight="1">
      <c r="A1188" s="915" t="s">
        <v>2667</v>
      </c>
      <c r="B1188" s="916" t="s">
        <v>3004</v>
      </c>
      <c r="C1188" s="917"/>
      <c r="D1188" s="917"/>
      <c r="E1188" s="918" t="e">
        <f t="shared" si="130"/>
        <v>#DIV/0!</v>
      </c>
      <c r="F1188" s="917">
        <v>4</v>
      </c>
      <c r="G1188" s="917"/>
      <c r="H1188" s="918">
        <f t="shared" si="131"/>
        <v>0</v>
      </c>
      <c r="I1188" s="919">
        <f t="shared" si="129"/>
        <v>4</v>
      </c>
      <c r="J1188" s="919">
        <f t="shared" si="129"/>
        <v>0</v>
      </c>
      <c r="K1188" s="920">
        <f t="shared" si="132"/>
        <v>0</v>
      </c>
    </row>
    <row r="1189" spans="1:11" ht="24.95" customHeight="1">
      <c r="A1189" s="915"/>
      <c r="B1189" s="916" t="s">
        <v>2</v>
      </c>
      <c r="C1189" s="917">
        <f>SUM(C994:C1188)</f>
        <v>26106</v>
      </c>
      <c r="D1189" s="917">
        <f>SUM(D994:D1188)</f>
        <v>16078</v>
      </c>
      <c r="E1189" s="918">
        <f t="shared" si="130"/>
        <v>0.615873745499119</v>
      </c>
      <c r="F1189" s="917">
        <f>SUM(F994:F1188)</f>
        <v>19691</v>
      </c>
      <c r="G1189" s="917">
        <f>SUM(G994:G1188)</f>
        <v>10110</v>
      </c>
      <c r="H1189" s="918">
        <f t="shared" si="131"/>
        <v>0.51343253262911992</v>
      </c>
      <c r="I1189" s="917">
        <f>SUM(I994:I1188)</f>
        <v>45697</v>
      </c>
      <c r="J1189" s="917">
        <f>SUM(J994:J1188)</f>
        <v>26188</v>
      </c>
      <c r="K1189" s="920">
        <f t="shared" si="132"/>
        <v>0.57307919557082521</v>
      </c>
    </row>
    <row r="1190" spans="1:11" ht="24.95" customHeight="1">
      <c r="A1190" s="913"/>
      <c r="B1190" s="950" t="s">
        <v>3113</v>
      </c>
      <c r="C1190" s="951">
        <f t="shared" ref="C1190:J1190" si="133">+C1189</f>
        <v>26106</v>
      </c>
      <c r="D1190" s="951">
        <f t="shared" si="133"/>
        <v>16078</v>
      </c>
      <c r="E1190" s="918">
        <f t="shared" si="130"/>
        <v>0.615873745499119</v>
      </c>
      <c r="F1190" s="951">
        <f t="shared" si="133"/>
        <v>19691</v>
      </c>
      <c r="G1190" s="951">
        <f t="shared" si="133"/>
        <v>10110</v>
      </c>
      <c r="H1190" s="918">
        <f t="shared" si="131"/>
        <v>0.51343253262911992</v>
      </c>
      <c r="I1190" s="951">
        <f t="shared" si="133"/>
        <v>45697</v>
      </c>
      <c r="J1190" s="951">
        <f t="shared" si="133"/>
        <v>26188</v>
      </c>
      <c r="K1190" s="920">
        <f t="shared" si="132"/>
        <v>0.57307919557082521</v>
      </c>
    </row>
    <row r="1191" spans="1:11" ht="24.95" customHeight="1">
      <c r="A1191" s="913"/>
      <c r="B1191" s="952" t="s">
        <v>2673</v>
      </c>
      <c r="C1191" s="951">
        <f t="shared" ref="C1191:J1191" si="134">+C992</f>
        <v>252</v>
      </c>
      <c r="D1191" s="951">
        <f t="shared" si="134"/>
        <v>97</v>
      </c>
      <c r="E1191" s="918">
        <f t="shared" si="130"/>
        <v>0.38492063492063494</v>
      </c>
      <c r="F1191" s="951">
        <f t="shared" si="134"/>
        <v>1695</v>
      </c>
      <c r="G1191" s="951">
        <f t="shared" si="134"/>
        <v>705</v>
      </c>
      <c r="H1191" s="918">
        <f t="shared" si="131"/>
        <v>0.41592920353982299</v>
      </c>
      <c r="I1191" s="951">
        <f t="shared" si="134"/>
        <v>1947</v>
      </c>
      <c r="J1191" s="951">
        <f t="shared" si="134"/>
        <v>802</v>
      </c>
      <c r="K1191" s="920">
        <f t="shared" si="132"/>
        <v>0.41191576784797124</v>
      </c>
    </row>
    <row r="1192" spans="1:11" ht="24.95" customHeight="1">
      <c r="A1192" s="913"/>
      <c r="B1192" s="953" t="s">
        <v>2671</v>
      </c>
      <c r="C1192" s="954">
        <f t="shared" ref="C1192:J1192" si="135">+C1190+C1191</f>
        <v>26358</v>
      </c>
      <c r="D1192" s="954">
        <f t="shared" si="135"/>
        <v>16175</v>
      </c>
      <c r="E1192" s="918">
        <f t="shared" si="130"/>
        <v>0.6136656802488808</v>
      </c>
      <c r="F1192" s="954">
        <f t="shared" si="135"/>
        <v>21386</v>
      </c>
      <c r="G1192" s="954">
        <f t="shared" si="135"/>
        <v>10815</v>
      </c>
      <c r="H1192" s="918">
        <f t="shared" si="131"/>
        <v>0.50570466660432056</v>
      </c>
      <c r="I1192" s="954">
        <f t="shared" si="135"/>
        <v>47644</v>
      </c>
      <c r="J1192" s="954">
        <f t="shared" si="135"/>
        <v>26990</v>
      </c>
      <c r="K1192" s="920">
        <f t="shared" si="132"/>
        <v>0.56649315758542529</v>
      </c>
    </row>
    <row r="1193" spans="1:11" ht="24.95" customHeight="1">
      <c r="A1193" s="2168" t="s">
        <v>149</v>
      </c>
      <c r="B1193" s="2168"/>
      <c r="C1193" s="2169"/>
      <c r="D1193" s="2169"/>
      <c r="E1193" s="2169"/>
      <c r="F1193" s="2169"/>
      <c r="G1193" s="2169"/>
      <c r="H1193" s="2169"/>
      <c r="I1193" s="2169"/>
      <c r="J1193" s="955"/>
      <c r="K1193" s="956"/>
    </row>
    <row r="1194" spans="1:11" ht="24.95" customHeight="1">
      <c r="A1194" s="2170" t="s">
        <v>3767</v>
      </c>
      <c r="B1194" s="2170"/>
      <c r="C1194" s="2170"/>
      <c r="D1194" s="2170"/>
      <c r="E1194" s="2170"/>
      <c r="F1194" s="2170"/>
      <c r="G1194" s="2170"/>
      <c r="H1194" s="2170"/>
      <c r="I1194" s="2170"/>
      <c r="J1194" s="957"/>
      <c r="K1194" s="958"/>
    </row>
    <row r="1195" spans="1:11" ht="24.95" customHeight="1">
      <c r="A1195" s="959"/>
      <c r="B1195" s="960" t="s">
        <v>208</v>
      </c>
      <c r="C1195" s="1960" t="s">
        <v>1852</v>
      </c>
      <c r="D1195" s="1961"/>
      <c r="E1195" s="1961"/>
      <c r="F1195" s="1961"/>
      <c r="G1195" s="1961"/>
      <c r="H1195" s="1961"/>
      <c r="I1195" s="1961"/>
      <c r="J1195" s="1961"/>
      <c r="K1195" s="1961"/>
    </row>
    <row r="1196" spans="1:11" ht="24.95" customHeight="1">
      <c r="A1196" s="683"/>
      <c r="B1196" s="684" t="s">
        <v>209</v>
      </c>
      <c r="C1196" s="1958">
        <v>17878735</v>
      </c>
      <c r="D1196" s="1959"/>
      <c r="E1196" s="1959"/>
      <c r="F1196" s="1959"/>
      <c r="G1196" s="1959"/>
      <c r="H1196" s="1959"/>
      <c r="I1196" s="1959"/>
      <c r="J1196" s="1959"/>
      <c r="K1196" s="1959"/>
    </row>
    <row r="1197" spans="1:11" ht="24.95" customHeight="1">
      <c r="A1197" s="683"/>
      <c r="B1197" s="684" t="s">
        <v>211</v>
      </c>
      <c r="C1197" s="1960" t="s">
        <v>1812</v>
      </c>
      <c r="D1197" s="1961"/>
      <c r="E1197" s="1961"/>
      <c r="F1197" s="1961"/>
      <c r="G1197" s="1961"/>
      <c r="H1197" s="1961"/>
      <c r="I1197" s="1961"/>
      <c r="J1197" s="1961"/>
      <c r="K1197" s="1961"/>
    </row>
    <row r="1198" spans="1:11" ht="24.95" customHeight="1">
      <c r="A1198" s="683"/>
      <c r="B1198" s="684" t="s">
        <v>210</v>
      </c>
      <c r="C1198" s="2042" t="s">
        <v>331</v>
      </c>
      <c r="D1198" s="2043"/>
      <c r="E1198" s="2043"/>
      <c r="F1198" s="2043"/>
      <c r="G1198" s="2043"/>
      <c r="H1198" s="2043"/>
      <c r="I1198" s="2043"/>
      <c r="J1198" s="2043"/>
      <c r="K1198" s="2043"/>
    </row>
    <row r="1199" spans="1:11" ht="24.95" customHeight="1">
      <c r="A1199" s="683"/>
      <c r="B1199" s="684" t="s">
        <v>251</v>
      </c>
      <c r="C1199" s="2084" t="s">
        <v>1950</v>
      </c>
      <c r="D1199" s="2085"/>
      <c r="E1199" s="2085"/>
      <c r="F1199" s="2085"/>
      <c r="G1199" s="2085"/>
      <c r="H1199" s="2085"/>
      <c r="I1199" s="2085"/>
      <c r="J1199" s="2085"/>
      <c r="K1199" s="2085"/>
    </row>
    <row r="1200" spans="1:11" ht="24.95" customHeight="1">
      <c r="A1200" s="2166" t="s">
        <v>122</v>
      </c>
      <c r="B1200" s="2166" t="s">
        <v>253</v>
      </c>
      <c r="C1200" s="1935" t="s">
        <v>2038</v>
      </c>
      <c r="D1200" s="1935"/>
      <c r="E1200" s="1935"/>
      <c r="F1200" s="1935" t="s">
        <v>2039</v>
      </c>
      <c r="G1200" s="1935"/>
      <c r="H1200" s="1935"/>
      <c r="I1200" s="1935" t="s">
        <v>90</v>
      </c>
      <c r="J1200" s="1935"/>
      <c r="K1200" s="1935"/>
    </row>
    <row r="1201" spans="1:11" ht="24.95" customHeight="1">
      <c r="A1201" s="2167"/>
      <c r="B1201" s="2167"/>
      <c r="C1201" s="545" t="s">
        <v>368</v>
      </c>
      <c r="D1201" s="547" t="s">
        <v>2040</v>
      </c>
      <c r="E1201" s="546" t="s">
        <v>2041</v>
      </c>
      <c r="F1201" s="545" t="s">
        <v>368</v>
      </c>
      <c r="G1201" s="547" t="s">
        <v>2040</v>
      </c>
      <c r="H1201" s="546" t="s">
        <v>2041</v>
      </c>
      <c r="I1201" s="545" t="s">
        <v>368</v>
      </c>
      <c r="J1201" s="547" t="s">
        <v>2040</v>
      </c>
      <c r="K1201" s="546" t="s">
        <v>2041</v>
      </c>
    </row>
    <row r="1202" spans="1:11" ht="24.95" customHeight="1">
      <c r="A1202" s="961"/>
      <c r="B1202" s="962" t="s">
        <v>2372</v>
      </c>
      <c r="C1202" s="2162"/>
      <c r="D1202" s="2163"/>
      <c r="E1202" s="2163"/>
      <c r="F1202" s="2163"/>
      <c r="G1202" s="2163"/>
      <c r="H1202" s="2163"/>
      <c r="I1202" s="2163"/>
      <c r="J1202" s="2163"/>
      <c r="K1202" s="2163"/>
    </row>
    <row r="1203" spans="1:11" ht="24.95" customHeight="1">
      <c r="A1203" s="963" t="s">
        <v>3768</v>
      </c>
      <c r="B1203" s="964" t="s">
        <v>3769</v>
      </c>
      <c r="C1203" s="965"/>
      <c r="D1203" s="965"/>
      <c r="E1203" s="966" t="e">
        <f>+D1203/C1203</f>
        <v>#DIV/0!</v>
      </c>
      <c r="F1203" s="965"/>
      <c r="G1203" s="965"/>
      <c r="H1203" s="966" t="e">
        <f>+G1203/F1203</f>
        <v>#DIV/0!</v>
      </c>
      <c r="I1203" s="965">
        <f t="shared" ref="I1203:J1234" si="136">+C1203+F1203</f>
        <v>0</v>
      </c>
      <c r="J1203" s="967">
        <f>+D1203+G1203</f>
        <v>0</v>
      </c>
      <c r="K1203" s="968" t="e">
        <f>+J1203/I1203</f>
        <v>#DIV/0!</v>
      </c>
    </row>
    <row r="1204" spans="1:11" ht="24.95" customHeight="1">
      <c r="A1204" s="961" t="s">
        <v>3013</v>
      </c>
      <c r="B1204" s="961" t="s">
        <v>2388</v>
      </c>
      <c r="C1204" s="965">
        <v>0</v>
      </c>
      <c r="D1204" s="965"/>
      <c r="E1204" s="966" t="e">
        <f t="shared" ref="E1204:E1267" si="137">+D1204/C1204</f>
        <v>#DIV/0!</v>
      </c>
      <c r="F1204" s="965">
        <v>5</v>
      </c>
      <c r="G1204" s="965">
        <v>6</v>
      </c>
      <c r="H1204" s="966">
        <f t="shared" ref="H1204:H1267" si="138">+G1204/F1204</f>
        <v>1.2</v>
      </c>
      <c r="I1204" s="965">
        <f t="shared" si="136"/>
        <v>5</v>
      </c>
      <c r="J1204" s="967">
        <f t="shared" si="136"/>
        <v>6</v>
      </c>
      <c r="K1204" s="968">
        <f t="shared" ref="K1204:K1267" si="139">+J1204/I1204</f>
        <v>1.2</v>
      </c>
    </row>
    <row r="1205" spans="1:11" ht="24.95" customHeight="1">
      <c r="A1205" s="969">
        <v>130207</v>
      </c>
      <c r="B1205" s="970" t="s">
        <v>2390</v>
      </c>
      <c r="C1205" s="971">
        <v>1</v>
      </c>
      <c r="D1205" s="971"/>
      <c r="E1205" s="966">
        <f t="shared" si="137"/>
        <v>0</v>
      </c>
      <c r="F1205" s="972">
        <v>55</v>
      </c>
      <c r="G1205" s="972">
        <v>26</v>
      </c>
      <c r="H1205" s="966">
        <f t="shared" si="138"/>
        <v>0.47272727272727272</v>
      </c>
      <c r="I1205" s="965">
        <f t="shared" si="136"/>
        <v>56</v>
      </c>
      <c r="J1205" s="967">
        <f t="shared" si="136"/>
        <v>26</v>
      </c>
      <c r="K1205" s="968">
        <f t="shared" si="139"/>
        <v>0.4642857142857143</v>
      </c>
    </row>
    <row r="1206" spans="1:11" ht="24.95" customHeight="1">
      <c r="A1206" s="969" t="s">
        <v>2792</v>
      </c>
      <c r="B1206" s="973" t="s">
        <v>2402</v>
      </c>
      <c r="C1206" s="971">
        <v>1</v>
      </c>
      <c r="D1206" s="971"/>
      <c r="E1206" s="966">
        <f t="shared" si="137"/>
        <v>0</v>
      </c>
      <c r="F1206" s="972">
        <v>200</v>
      </c>
      <c r="G1206" s="972">
        <v>99</v>
      </c>
      <c r="H1206" s="966">
        <f t="shared" si="138"/>
        <v>0.495</v>
      </c>
      <c r="I1206" s="965">
        <f t="shared" si="136"/>
        <v>201</v>
      </c>
      <c r="J1206" s="967">
        <f t="shared" si="136"/>
        <v>99</v>
      </c>
      <c r="K1206" s="968">
        <f t="shared" si="139"/>
        <v>0.4925373134328358</v>
      </c>
    </row>
    <row r="1207" spans="1:11" ht="24.95" customHeight="1">
      <c r="A1207" s="969">
        <v>250107</v>
      </c>
      <c r="B1207" s="973" t="s">
        <v>3770</v>
      </c>
      <c r="C1207" s="971">
        <v>1</v>
      </c>
      <c r="D1207" s="971"/>
      <c r="E1207" s="966">
        <f t="shared" si="137"/>
        <v>0</v>
      </c>
      <c r="F1207" s="972">
        <v>2</v>
      </c>
      <c r="G1207" s="972"/>
      <c r="H1207" s="966">
        <f t="shared" si="138"/>
        <v>0</v>
      </c>
      <c r="I1207" s="965">
        <f t="shared" si="136"/>
        <v>3</v>
      </c>
      <c r="J1207" s="967">
        <f t="shared" si="136"/>
        <v>0</v>
      </c>
      <c r="K1207" s="968">
        <f t="shared" si="139"/>
        <v>0</v>
      </c>
    </row>
    <row r="1208" spans="1:11" ht="24.95" customHeight="1">
      <c r="A1208" s="969">
        <v>260002</v>
      </c>
      <c r="B1208" s="973" t="s">
        <v>3771</v>
      </c>
      <c r="C1208" s="971"/>
      <c r="D1208" s="971"/>
      <c r="E1208" s="966" t="e">
        <f t="shared" si="137"/>
        <v>#DIV/0!</v>
      </c>
      <c r="F1208" s="972">
        <v>2</v>
      </c>
      <c r="G1208" s="972"/>
      <c r="H1208" s="966">
        <f t="shared" si="138"/>
        <v>0</v>
      </c>
      <c r="I1208" s="965">
        <f t="shared" si="136"/>
        <v>2</v>
      </c>
      <c r="J1208" s="967">
        <f t="shared" si="136"/>
        <v>0</v>
      </c>
      <c r="K1208" s="968">
        <f t="shared" si="139"/>
        <v>0</v>
      </c>
    </row>
    <row r="1209" spans="1:11" ht="24.95" customHeight="1">
      <c r="A1209" s="969">
        <v>260003</v>
      </c>
      <c r="B1209" s="973" t="s">
        <v>3772</v>
      </c>
      <c r="C1209" s="971">
        <v>90</v>
      </c>
      <c r="D1209" s="971">
        <v>25</v>
      </c>
      <c r="E1209" s="966">
        <f t="shared" si="137"/>
        <v>0.27777777777777779</v>
      </c>
      <c r="F1209" s="972"/>
      <c r="G1209" s="972"/>
      <c r="H1209" s="966" t="e">
        <f t="shared" si="138"/>
        <v>#DIV/0!</v>
      </c>
      <c r="I1209" s="965">
        <f t="shared" si="136"/>
        <v>90</v>
      </c>
      <c r="J1209" s="967">
        <f t="shared" si="136"/>
        <v>25</v>
      </c>
      <c r="K1209" s="968">
        <f t="shared" si="139"/>
        <v>0.27777777777777779</v>
      </c>
    </row>
    <row r="1210" spans="1:11" ht="24.95" customHeight="1">
      <c r="A1210" s="969">
        <v>260008</v>
      </c>
      <c r="B1210" s="973" t="s">
        <v>3128</v>
      </c>
      <c r="C1210" s="971"/>
      <c r="D1210" s="971"/>
      <c r="E1210" s="966" t="e">
        <f t="shared" si="137"/>
        <v>#DIV/0!</v>
      </c>
      <c r="F1210" s="972">
        <v>5</v>
      </c>
      <c r="G1210" s="972"/>
      <c r="H1210" s="966">
        <f t="shared" si="138"/>
        <v>0</v>
      </c>
      <c r="I1210" s="965">
        <f t="shared" si="136"/>
        <v>5</v>
      </c>
      <c r="J1210" s="967">
        <f t="shared" si="136"/>
        <v>0</v>
      </c>
      <c r="K1210" s="968">
        <f t="shared" si="139"/>
        <v>0</v>
      </c>
    </row>
    <row r="1211" spans="1:11" ht="24.95" customHeight="1">
      <c r="A1211" s="969">
        <v>260009</v>
      </c>
      <c r="B1211" s="973" t="s">
        <v>3130</v>
      </c>
      <c r="C1211" s="971">
        <v>4</v>
      </c>
      <c r="D1211" s="971"/>
      <c r="E1211" s="966">
        <f t="shared" si="137"/>
        <v>0</v>
      </c>
      <c r="F1211" s="972">
        <v>2</v>
      </c>
      <c r="G1211" s="972"/>
      <c r="H1211" s="966">
        <f t="shared" si="138"/>
        <v>0</v>
      </c>
      <c r="I1211" s="965">
        <f t="shared" si="136"/>
        <v>6</v>
      </c>
      <c r="J1211" s="967">
        <f t="shared" si="136"/>
        <v>0</v>
      </c>
      <c r="K1211" s="968">
        <f t="shared" si="139"/>
        <v>0</v>
      </c>
    </row>
    <row r="1212" spans="1:11" ht="24.95" customHeight="1">
      <c r="A1212" s="974" t="s">
        <v>2423</v>
      </c>
      <c r="B1212" s="975" t="s">
        <v>2424</v>
      </c>
      <c r="C1212" s="971">
        <v>380</v>
      </c>
      <c r="D1212" s="971">
        <v>172</v>
      </c>
      <c r="E1212" s="966">
        <f t="shared" si="137"/>
        <v>0.45263157894736844</v>
      </c>
      <c r="F1212" s="972">
        <v>450</v>
      </c>
      <c r="G1212" s="972">
        <v>101</v>
      </c>
      <c r="H1212" s="966">
        <f t="shared" si="138"/>
        <v>0.22444444444444445</v>
      </c>
      <c r="I1212" s="965">
        <f t="shared" si="136"/>
        <v>830</v>
      </c>
      <c r="J1212" s="967">
        <f t="shared" si="136"/>
        <v>273</v>
      </c>
      <c r="K1212" s="968">
        <f t="shared" si="139"/>
        <v>0.3289156626506024</v>
      </c>
    </row>
    <row r="1213" spans="1:11" ht="24.95" customHeight="1">
      <c r="A1213" s="974" t="s">
        <v>3563</v>
      </c>
      <c r="B1213" s="976" t="s">
        <v>3564</v>
      </c>
      <c r="C1213" s="971">
        <v>70</v>
      </c>
      <c r="D1213" s="971">
        <v>56</v>
      </c>
      <c r="E1213" s="966">
        <f t="shared" si="137"/>
        <v>0.8</v>
      </c>
      <c r="F1213" s="972"/>
      <c r="G1213" s="972"/>
      <c r="H1213" s="966" t="e">
        <f t="shared" si="138"/>
        <v>#DIV/0!</v>
      </c>
      <c r="I1213" s="965">
        <f t="shared" si="136"/>
        <v>70</v>
      </c>
      <c r="J1213" s="967">
        <f t="shared" si="136"/>
        <v>56</v>
      </c>
      <c r="K1213" s="968">
        <f t="shared" si="139"/>
        <v>0.8</v>
      </c>
    </row>
    <row r="1214" spans="1:11" ht="24.95" customHeight="1">
      <c r="A1214" s="974" t="s">
        <v>3773</v>
      </c>
      <c r="B1214" s="975" t="s">
        <v>3774</v>
      </c>
      <c r="C1214" s="971">
        <v>155</v>
      </c>
      <c r="D1214" s="971">
        <v>158</v>
      </c>
      <c r="E1214" s="966">
        <f t="shared" si="137"/>
        <v>1.0193548387096774</v>
      </c>
      <c r="F1214" s="972"/>
      <c r="G1214" s="972"/>
      <c r="H1214" s="966" t="e">
        <f t="shared" si="138"/>
        <v>#DIV/0!</v>
      </c>
      <c r="I1214" s="965">
        <f t="shared" si="136"/>
        <v>155</v>
      </c>
      <c r="J1214" s="967">
        <f t="shared" si="136"/>
        <v>158</v>
      </c>
      <c r="K1214" s="968">
        <f t="shared" si="139"/>
        <v>1.0193548387096774</v>
      </c>
    </row>
    <row r="1215" spans="1:11" ht="24.95" customHeight="1">
      <c r="A1215" s="974" t="s">
        <v>3775</v>
      </c>
      <c r="B1215" s="976" t="s">
        <v>3776</v>
      </c>
      <c r="C1215" s="971">
        <v>290</v>
      </c>
      <c r="D1215" s="971">
        <v>181</v>
      </c>
      <c r="E1215" s="966">
        <f t="shared" si="137"/>
        <v>0.62413793103448278</v>
      </c>
      <c r="F1215" s="972"/>
      <c r="G1215" s="972"/>
      <c r="H1215" s="966" t="e">
        <f t="shared" si="138"/>
        <v>#DIV/0!</v>
      </c>
      <c r="I1215" s="965">
        <f t="shared" si="136"/>
        <v>290</v>
      </c>
      <c r="J1215" s="967">
        <f t="shared" si="136"/>
        <v>181</v>
      </c>
      <c r="K1215" s="968">
        <f t="shared" si="139"/>
        <v>0.62413793103448278</v>
      </c>
    </row>
    <row r="1216" spans="1:11" ht="24.95" customHeight="1">
      <c r="A1216" s="974" t="s">
        <v>3777</v>
      </c>
      <c r="B1216" s="976" t="s">
        <v>3778</v>
      </c>
      <c r="C1216" s="971">
        <v>175</v>
      </c>
      <c r="D1216" s="971">
        <v>106</v>
      </c>
      <c r="E1216" s="966">
        <f t="shared" si="137"/>
        <v>0.60571428571428576</v>
      </c>
      <c r="F1216" s="972"/>
      <c r="G1216" s="972"/>
      <c r="H1216" s="966" t="e">
        <f t="shared" si="138"/>
        <v>#DIV/0!</v>
      </c>
      <c r="I1216" s="965">
        <f t="shared" si="136"/>
        <v>175</v>
      </c>
      <c r="J1216" s="967">
        <f t="shared" si="136"/>
        <v>106</v>
      </c>
      <c r="K1216" s="968">
        <f t="shared" si="139"/>
        <v>0.60571428571428576</v>
      </c>
    </row>
    <row r="1217" spans="1:11" ht="24.95" customHeight="1">
      <c r="A1217" s="974" t="s">
        <v>3579</v>
      </c>
      <c r="B1217" s="976" t="s">
        <v>3580</v>
      </c>
      <c r="C1217" s="971">
        <v>660</v>
      </c>
      <c r="D1217" s="971">
        <v>406</v>
      </c>
      <c r="E1217" s="966">
        <f t="shared" si="137"/>
        <v>0.61515151515151512</v>
      </c>
      <c r="F1217" s="972"/>
      <c r="G1217" s="972">
        <v>1</v>
      </c>
      <c r="H1217" s="966" t="e">
        <f t="shared" si="138"/>
        <v>#DIV/0!</v>
      </c>
      <c r="I1217" s="965">
        <f t="shared" si="136"/>
        <v>660</v>
      </c>
      <c r="J1217" s="967">
        <f t="shared" si="136"/>
        <v>407</v>
      </c>
      <c r="K1217" s="968">
        <f t="shared" si="139"/>
        <v>0.6166666666666667</v>
      </c>
    </row>
    <row r="1218" spans="1:11" ht="24.95" customHeight="1">
      <c r="A1218" s="974" t="s">
        <v>3779</v>
      </c>
      <c r="B1218" s="976" t="s">
        <v>3780</v>
      </c>
      <c r="C1218" s="971">
        <v>5</v>
      </c>
      <c r="D1218" s="971">
        <v>8</v>
      </c>
      <c r="E1218" s="966">
        <f t="shared" si="137"/>
        <v>1.6</v>
      </c>
      <c r="F1218" s="972"/>
      <c r="G1218" s="972"/>
      <c r="H1218" s="966" t="e">
        <f t="shared" si="138"/>
        <v>#DIV/0!</v>
      </c>
      <c r="I1218" s="965">
        <f t="shared" si="136"/>
        <v>5</v>
      </c>
      <c r="J1218" s="967">
        <f t="shared" si="136"/>
        <v>8</v>
      </c>
      <c r="K1218" s="968">
        <f t="shared" si="139"/>
        <v>1.6</v>
      </c>
    </row>
    <row r="1219" spans="1:11" ht="24.95" customHeight="1">
      <c r="A1219" s="974" t="s">
        <v>3781</v>
      </c>
      <c r="B1219" s="976" t="s">
        <v>3782</v>
      </c>
      <c r="C1219" s="971"/>
      <c r="D1219" s="971"/>
      <c r="E1219" s="966" t="e">
        <f t="shared" si="137"/>
        <v>#DIV/0!</v>
      </c>
      <c r="F1219" s="972"/>
      <c r="G1219" s="972"/>
      <c r="H1219" s="966" t="e">
        <f t="shared" si="138"/>
        <v>#DIV/0!</v>
      </c>
      <c r="I1219" s="965">
        <f t="shared" si="136"/>
        <v>0</v>
      </c>
      <c r="J1219" s="967">
        <f t="shared" si="136"/>
        <v>0</v>
      </c>
      <c r="K1219" s="968" t="e">
        <f t="shared" si="139"/>
        <v>#DIV/0!</v>
      </c>
    </row>
    <row r="1220" spans="1:11" ht="24.95" customHeight="1">
      <c r="A1220" s="974" t="s">
        <v>3783</v>
      </c>
      <c r="B1220" s="976" t="s">
        <v>3784</v>
      </c>
      <c r="C1220" s="971"/>
      <c r="D1220" s="971"/>
      <c r="E1220" s="966" t="e">
        <f t="shared" si="137"/>
        <v>#DIV/0!</v>
      </c>
      <c r="F1220" s="972"/>
      <c r="G1220" s="972"/>
      <c r="H1220" s="966" t="e">
        <f t="shared" si="138"/>
        <v>#DIV/0!</v>
      </c>
      <c r="I1220" s="965">
        <f t="shared" si="136"/>
        <v>0</v>
      </c>
      <c r="J1220" s="967">
        <f t="shared" si="136"/>
        <v>0</v>
      </c>
      <c r="K1220" s="968" t="e">
        <f t="shared" si="139"/>
        <v>#DIV/0!</v>
      </c>
    </row>
    <row r="1221" spans="1:11" ht="24.95" customHeight="1">
      <c r="A1221" s="974" t="s">
        <v>3785</v>
      </c>
      <c r="B1221" s="976" t="s">
        <v>3786</v>
      </c>
      <c r="C1221" s="971">
        <v>390</v>
      </c>
      <c r="D1221" s="971">
        <v>223</v>
      </c>
      <c r="E1221" s="966">
        <f t="shared" si="137"/>
        <v>0.57179487179487176</v>
      </c>
      <c r="F1221" s="972"/>
      <c r="G1221" s="972"/>
      <c r="H1221" s="966" t="e">
        <f t="shared" si="138"/>
        <v>#DIV/0!</v>
      </c>
      <c r="I1221" s="965">
        <f t="shared" si="136"/>
        <v>390</v>
      </c>
      <c r="J1221" s="967">
        <f t="shared" si="136"/>
        <v>223</v>
      </c>
      <c r="K1221" s="968">
        <f t="shared" si="139"/>
        <v>0.57179487179487176</v>
      </c>
    </row>
    <row r="1222" spans="1:11" ht="24.95" customHeight="1">
      <c r="A1222" s="974" t="s">
        <v>3787</v>
      </c>
      <c r="B1222" s="976" t="s">
        <v>3788</v>
      </c>
      <c r="C1222" s="971">
        <v>460</v>
      </c>
      <c r="D1222" s="971">
        <v>303</v>
      </c>
      <c r="E1222" s="966">
        <f t="shared" si="137"/>
        <v>0.65869565217391302</v>
      </c>
      <c r="F1222" s="972"/>
      <c r="G1222" s="972"/>
      <c r="H1222" s="966" t="e">
        <f t="shared" si="138"/>
        <v>#DIV/0!</v>
      </c>
      <c r="I1222" s="965">
        <f t="shared" si="136"/>
        <v>460</v>
      </c>
      <c r="J1222" s="967">
        <f t="shared" si="136"/>
        <v>303</v>
      </c>
      <c r="K1222" s="968">
        <f t="shared" si="139"/>
        <v>0.65869565217391302</v>
      </c>
    </row>
    <row r="1223" spans="1:11" ht="24.95" customHeight="1">
      <c r="A1223" s="974" t="s">
        <v>3789</v>
      </c>
      <c r="B1223" s="976" t="s">
        <v>2638</v>
      </c>
      <c r="C1223" s="971"/>
      <c r="D1223" s="971"/>
      <c r="E1223" s="966" t="e">
        <f t="shared" si="137"/>
        <v>#DIV/0!</v>
      </c>
      <c r="F1223" s="972">
        <v>20</v>
      </c>
      <c r="G1223" s="972"/>
      <c r="H1223" s="966">
        <f t="shared" si="138"/>
        <v>0</v>
      </c>
      <c r="I1223" s="965">
        <f t="shared" si="136"/>
        <v>20</v>
      </c>
      <c r="J1223" s="967">
        <f t="shared" si="136"/>
        <v>0</v>
      </c>
      <c r="K1223" s="968">
        <f t="shared" si="139"/>
        <v>0</v>
      </c>
    </row>
    <row r="1224" spans="1:11" ht="24.95" customHeight="1">
      <c r="A1224" s="974" t="s">
        <v>3790</v>
      </c>
      <c r="B1224" s="976" t="s">
        <v>3791</v>
      </c>
      <c r="C1224" s="971">
        <v>380</v>
      </c>
      <c r="D1224" s="971">
        <v>172</v>
      </c>
      <c r="E1224" s="966">
        <f t="shared" si="137"/>
        <v>0.45263157894736844</v>
      </c>
      <c r="F1224" s="972">
        <v>460</v>
      </c>
      <c r="G1224" s="972">
        <v>102</v>
      </c>
      <c r="H1224" s="966">
        <f t="shared" si="138"/>
        <v>0.22173913043478261</v>
      </c>
      <c r="I1224" s="965">
        <f t="shared" si="136"/>
        <v>840</v>
      </c>
      <c r="J1224" s="967">
        <f t="shared" si="136"/>
        <v>274</v>
      </c>
      <c r="K1224" s="968">
        <f t="shared" si="139"/>
        <v>0.3261904761904762</v>
      </c>
    </row>
    <row r="1225" spans="1:11" ht="24.95" customHeight="1">
      <c r="A1225" s="969" t="s">
        <v>2827</v>
      </c>
      <c r="B1225" s="973" t="s">
        <v>3792</v>
      </c>
      <c r="C1225" s="971">
        <v>150</v>
      </c>
      <c r="D1225" s="971">
        <v>109</v>
      </c>
      <c r="E1225" s="966">
        <f t="shared" si="137"/>
        <v>0.72666666666666668</v>
      </c>
      <c r="F1225" s="972"/>
      <c r="G1225" s="972"/>
      <c r="H1225" s="966" t="e">
        <f t="shared" si="138"/>
        <v>#DIV/0!</v>
      </c>
      <c r="I1225" s="965">
        <f t="shared" si="136"/>
        <v>150</v>
      </c>
      <c r="J1225" s="967">
        <f t="shared" si="136"/>
        <v>109</v>
      </c>
      <c r="K1225" s="968">
        <f t="shared" si="139"/>
        <v>0.72666666666666668</v>
      </c>
    </row>
    <row r="1226" spans="1:11" ht="24.95" customHeight="1">
      <c r="A1226" s="969" t="s">
        <v>2429</v>
      </c>
      <c r="B1226" s="973" t="s">
        <v>3793</v>
      </c>
      <c r="C1226" s="971"/>
      <c r="D1226" s="971"/>
      <c r="E1226" s="966" t="e">
        <f t="shared" si="137"/>
        <v>#DIV/0!</v>
      </c>
      <c r="F1226" s="972">
        <v>4</v>
      </c>
      <c r="G1226" s="972"/>
      <c r="H1226" s="966">
        <f t="shared" si="138"/>
        <v>0</v>
      </c>
      <c r="I1226" s="965">
        <f t="shared" si="136"/>
        <v>4</v>
      </c>
      <c r="J1226" s="967">
        <f t="shared" si="136"/>
        <v>0</v>
      </c>
      <c r="K1226" s="968">
        <f t="shared" si="139"/>
        <v>0</v>
      </c>
    </row>
    <row r="1227" spans="1:11" ht="24.95" customHeight="1">
      <c r="A1227" s="969">
        <v>600349</v>
      </c>
      <c r="B1227" s="973" t="s">
        <v>2434</v>
      </c>
      <c r="C1227" s="971"/>
      <c r="D1227" s="971"/>
      <c r="E1227" s="966" t="e">
        <f t="shared" si="137"/>
        <v>#DIV/0!</v>
      </c>
      <c r="F1227" s="972">
        <v>10</v>
      </c>
      <c r="G1227" s="972"/>
      <c r="H1227" s="966">
        <f t="shared" si="138"/>
        <v>0</v>
      </c>
      <c r="I1227" s="965">
        <f t="shared" si="136"/>
        <v>10</v>
      </c>
      <c r="J1227" s="967">
        <f t="shared" si="136"/>
        <v>0</v>
      </c>
      <c r="K1227" s="968">
        <f t="shared" si="139"/>
        <v>0</v>
      </c>
    </row>
    <row r="1228" spans="1:11" ht="24.95" customHeight="1">
      <c r="A1228" s="969" t="s">
        <v>3794</v>
      </c>
      <c r="B1228" s="973" t="s">
        <v>3795</v>
      </c>
      <c r="C1228" s="971">
        <v>445</v>
      </c>
      <c r="D1228" s="971">
        <v>208</v>
      </c>
      <c r="E1228" s="966">
        <f t="shared" si="137"/>
        <v>0.46741573033707867</v>
      </c>
      <c r="F1228" s="972">
        <v>5</v>
      </c>
      <c r="G1228" s="972"/>
      <c r="H1228" s="966">
        <f t="shared" si="138"/>
        <v>0</v>
      </c>
      <c r="I1228" s="965">
        <f t="shared" si="136"/>
        <v>450</v>
      </c>
      <c r="J1228" s="967">
        <f t="shared" si="136"/>
        <v>208</v>
      </c>
      <c r="K1228" s="968">
        <f t="shared" si="139"/>
        <v>0.4622222222222222</v>
      </c>
    </row>
    <row r="1229" spans="1:11" ht="24.95" customHeight="1">
      <c r="A1229" s="969" t="s">
        <v>3796</v>
      </c>
      <c r="B1229" s="973" t="s">
        <v>3797</v>
      </c>
      <c r="C1229" s="971">
        <v>860</v>
      </c>
      <c r="D1229" s="971">
        <v>441</v>
      </c>
      <c r="E1229" s="966">
        <f t="shared" si="137"/>
        <v>0.51279069767441865</v>
      </c>
      <c r="F1229" s="972">
        <v>5</v>
      </c>
      <c r="G1229" s="972">
        <v>2</v>
      </c>
      <c r="H1229" s="966">
        <f t="shared" si="138"/>
        <v>0.4</v>
      </c>
      <c r="I1229" s="965">
        <f t="shared" si="136"/>
        <v>865</v>
      </c>
      <c r="J1229" s="967">
        <f t="shared" si="136"/>
        <v>443</v>
      </c>
      <c r="K1229" s="968">
        <f t="shared" si="139"/>
        <v>0.51213872832369944</v>
      </c>
    </row>
    <row r="1230" spans="1:11" ht="24.95" customHeight="1">
      <c r="A1230" s="969" t="s">
        <v>3798</v>
      </c>
      <c r="B1230" s="973" t="s">
        <v>3799</v>
      </c>
      <c r="C1230" s="971">
        <v>30</v>
      </c>
      <c r="D1230" s="971">
        <v>15</v>
      </c>
      <c r="E1230" s="966">
        <f t="shared" si="137"/>
        <v>0.5</v>
      </c>
      <c r="F1230" s="972">
        <v>20</v>
      </c>
      <c r="G1230" s="972">
        <v>10</v>
      </c>
      <c r="H1230" s="966">
        <f t="shared" si="138"/>
        <v>0.5</v>
      </c>
      <c r="I1230" s="965">
        <f t="shared" si="136"/>
        <v>50</v>
      </c>
      <c r="J1230" s="967">
        <f t="shared" si="136"/>
        <v>25</v>
      </c>
      <c r="K1230" s="968">
        <f t="shared" si="139"/>
        <v>0.5</v>
      </c>
    </row>
    <row r="1231" spans="1:11" ht="24.95" customHeight="1">
      <c r="A1231" s="969" t="s">
        <v>2439</v>
      </c>
      <c r="B1231" s="973" t="s">
        <v>3800</v>
      </c>
      <c r="C1231" s="971"/>
      <c r="D1231" s="971"/>
      <c r="E1231" s="966" t="e">
        <f t="shared" si="137"/>
        <v>#DIV/0!</v>
      </c>
      <c r="F1231" s="972">
        <v>60</v>
      </c>
      <c r="G1231" s="972">
        <v>39</v>
      </c>
      <c r="H1231" s="966">
        <f t="shared" si="138"/>
        <v>0.65</v>
      </c>
      <c r="I1231" s="965">
        <f t="shared" si="136"/>
        <v>60</v>
      </c>
      <c r="J1231" s="967">
        <f t="shared" si="136"/>
        <v>39</v>
      </c>
      <c r="K1231" s="968">
        <f t="shared" si="139"/>
        <v>0.65</v>
      </c>
    </row>
    <row r="1232" spans="1:11" ht="24.95" customHeight="1">
      <c r="A1232" s="974" t="s">
        <v>3801</v>
      </c>
      <c r="B1232" s="976" t="s">
        <v>3802</v>
      </c>
      <c r="C1232" s="971">
        <v>380</v>
      </c>
      <c r="D1232" s="971">
        <v>174</v>
      </c>
      <c r="E1232" s="966">
        <f t="shared" si="137"/>
        <v>0.45789473684210524</v>
      </c>
      <c r="F1232" s="972">
        <v>750</v>
      </c>
      <c r="G1232" s="972">
        <v>285</v>
      </c>
      <c r="H1232" s="966">
        <f t="shared" si="138"/>
        <v>0.38</v>
      </c>
      <c r="I1232" s="965">
        <f t="shared" si="136"/>
        <v>1130</v>
      </c>
      <c r="J1232" s="967">
        <f t="shared" si="136"/>
        <v>459</v>
      </c>
      <c r="K1232" s="968">
        <f t="shared" si="139"/>
        <v>0.40619469026548671</v>
      </c>
    </row>
    <row r="1233" spans="1:11" ht="24.95" customHeight="1">
      <c r="A1233" s="974" t="s">
        <v>3039</v>
      </c>
      <c r="B1233" s="976" t="s">
        <v>3803</v>
      </c>
      <c r="C1233" s="971"/>
      <c r="D1233" s="971"/>
      <c r="E1233" s="966" t="e">
        <f t="shared" si="137"/>
        <v>#DIV/0!</v>
      </c>
      <c r="F1233" s="972">
        <v>40</v>
      </c>
      <c r="G1233" s="972"/>
      <c r="H1233" s="966">
        <f t="shared" si="138"/>
        <v>0</v>
      </c>
      <c r="I1233" s="965">
        <f t="shared" si="136"/>
        <v>40</v>
      </c>
      <c r="J1233" s="967">
        <f t="shared" si="136"/>
        <v>0</v>
      </c>
      <c r="K1233" s="968">
        <f t="shared" si="139"/>
        <v>0</v>
      </c>
    </row>
    <row r="1234" spans="1:11" ht="24.95" customHeight="1">
      <c r="A1234" s="974" t="s">
        <v>3804</v>
      </c>
      <c r="B1234" s="976" t="s">
        <v>3134</v>
      </c>
      <c r="C1234" s="971">
        <v>1</v>
      </c>
      <c r="D1234" s="971"/>
      <c r="E1234" s="966">
        <f t="shared" si="137"/>
        <v>0</v>
      </c>
      <c r="F1234" s="972">
        <v>1</v>
      </c>
      <c r="G1234" s="972"/>
      <c r="H1234" s="966">
        <f t="shared" si="138"/>
        <v>0</v>
      </c>
      <c r="I1234" s="965">
        <f t="shared" si="136"/>
        <v>2</v>
      </c>
      <c r="J1234" s="967">
        <f t="shared" si="136"/>
        <v>0</v>
      </c>
      <c r="K1234" s="968">
        <f t="shared" si="139"/>
        <v>0</v>
      </c>
    </row>
    <row r="1235" spans="1:11" ht="24.95" customHeight="1">
      <c r="A1235" s="974" t="s">
        <v>2908</v>
      </c>
      <c r="B1235" s="976" t="s">
        <v>3712</v>
      </c>
      <c r="C1235" s="971"/>
      <c r="D1235" s="971"/>
      <c r="E1235" s="966" t="e">
        <f t="shared" si="137"/>
        <v>#DIV/0!</v>
      </c>
      <c r="F1235" s="972">
        <v>2</v>
      </c>
      <c r="G1235" s="972">
        <v>1</v>
      </c>
      <c r="H1235" s="966">
        <f t="shared" si="138"/>
        <v>0.5</v>
      </c>
      <c r="I1235" s="965">
        <f t="shared" ref="I1235:J1267" si="140">+C1235+F1235</f>
        <v>2</v>
      </c>
      <c r="J1235" s="967">
        <f t="shared" si="140"/>
        <v>1</v>
      </c>
      <c r="K1235" s="968">
        <f t="shared" si="139"/>
        <v>0.5</v>
      </c>
    </row>
    <row r="1236" spans="1:11" ht="24.95" customHeight="1">
      <c r="A1236" s="974" t="s">
        <v>3135</v>
      </c>
      <c r="B1236" s="976" t="s">
        <v>3715</v>
      </c>
      <c r="C1236" s="971"/>
      <c r="D1236" s="971"/>
      <c r="E1236" s="966" t="e">
        <f t="shared" si="137"/>
        <v>#DIV/0!</v>
      </c>
      <c r="F1236" s="972">
        <v>15</v>
      </c>
      <c r="G1236" s="972"/>
      <c r="H1236" s="966">
        <f t="shared" si="138"/>
        <v>0</v>
      </c>
      <c r="I1236" s="965">
        <f t="shared" si="140"/>
        <v>15</v>
      </c>
      <c r="J1236" s="967">
        <f t="shared" si="140"/>
        <v>0</v>
      </c>
      <c r="K1236" s="968">
        <f t="shared" si="139"/>
        <v>0</v>
      </c>
    </row>
    <row r="1237" spans="1:11" ht="24.95" customHeight="1">
      <c r="A1237" s="974" t="s">
        <v>2940</v>
      </c>
      <c r="B1237" s="976" t="s">
        <v>2941</v>
      </c>
      <c r="C1237" s="971"/>
      <c r="D1237" s="971"/>
      <c r="E1237" s="966" t="e">
        <f t="shared" si="137"/>
        <v>#DIV/0!</v>
      </c>
      <c r="F1237" s="972">
        <v>2</v>
      </c>
      <c r="G1237" s="972"/>
      <c r="H1237" s="966">
        <f t="shared" si="138"/>
        <v>0</v>
      </c>
      <c r="I1237" s="965">
        <f t="shared" si="140"/>
        <v>2</v>
      </c>
      <c r="J1237" s="967">
        <f t="shared" si="140"/>
        <v>0</v>
      </c>
      <c r="K1237" s="968">
        <f t="shared" si="139"/>
        <v>0</v>
      </c>
    </row>
    <row r="1238" spans="1:11" ht="24.95" customHeight="1">
      <c r="A1238" s="969" t="s">
        <v>3805</v>
      </c>
      <c r="B1238" s="973" t="s">
        <v>3806</v>
      </c>
      <c r="C1238" s="971">
        <v>150</v>
      </c>
      <c r="D1238" s="971">
        <v>146</v>
      </c>
      <c r="E1238" s="966">
        <f t="shared" si="137"/>
        <v>0.97333333333333338</v>
      </c>
      <c r="F1238" s="972"/>
      <c r="G1238" s="972">
        <v>40</v>
      </c>
      <c r="H1238" s="966" t="e">
        <f t="shared" si="138"/>
        <v>#DIV/0!</v>
      </c>
      <c r="I1238" s="965">
        <f t="shared" si="140"/>
        <v>150</v>
      </c>
      <c r="J1238" s="967">
        <f t="shared" si="140"/>
        <v>186</v>
      </c>
      <c r="K1238" s="968">
        <f t="shared" si="139"/>
        <v>1.24</v>
      </c>
    </row>
    <row r="1239" spans="1:11" ht="24.95" customHeight="1">
      <c r="A1239" s="969" t="s">
        <v>3807</v>
      </c>
      <c r="B1239" s="976" t="s">
        <v>2947</v>
      </c>
      <c r="C1239" s="971">
        <v>7600</v>
      </c>
      <c r="D1239" s="971">
        <v>3437</v>
      </c>
      <c r="E1239" s="966">
        <f t="shared" si="137"/>
        <v>0.45223684210526316</v>
      </c>
      <c r="F1239" s="972">
        <v>1</v>
      </c>
      <c r="G1239" s="972"/>
      <c r="H1239" s="966">
        <f t="shared" si="138"/>
        <v>0</v>
      </c>
      <c r="I1239" s="965">
        <f t="shared" si="140"/>
        <v>7601</v>
      </c>
      <c r="J1239" s="967">
        <f t="shared" si="140"/>
        <v>3437</v>
      </c>
      <c r="K1239" s="968">
        <f t="shared" si="139"/>
        <v>0.45217734508617285</v>
      </c>
    </row>
    <row r="1240" spans="1:11" ht="24.95" customHeight="1">
      <c r="A1240" s="969" t="s">
        <v>3808</v>
      </c>
      <c r="B1240" s="976" t="s">
        <v>3809</v>
      </c>
      <c r="C1240" s="971"/>
      <c r="D1240" s="971"/>
      <c r="E1240" s="966" t="e">
        <f t="shared" si="137"/>
        <v>#DIV/0!</v>
      </c>
      <c r="F1240" s="972">
        <v>2</v>
      </c>
      <c r="G1240" s="972"/>
      <c r="H1240" s="966">
        <f t="shared" si="138"/>
        <v>0</v>
      </c>
      <c r="I1240" s="965">
        <f t="shared" si="140"/>
        <v>2</v>
      </c>
      <c r="J1240" s="967">
        <f t="shared" si="140"/>
        <v>0</v>
      </c>
      <c r="K1240" s="968">
        <f t="shared" si="139"/>
        <v>0</v>
      </c>
    </row>
    <row r="1241" spans="1:11" ht="24.95" customHeight="1">
      <c r="A1241" s="969" t="s">
        <v>3810</v>
      </c>
      <c r="B1241" s="976" t="s">
        <v>3811</v>
      </c>
      <c r="C1241" s="971">
        <v>4950</v>
      </c>
      <c r="D1241" s="971">
        <v>1861</v>
      </c>
      <c r="E1241" s="966">
        <f t="shared" si="137"/>
        <v>0.37595959595959594</v>
      </c>
      <c r="F1241" s="972"/>
      <c r="G1241" s="972"/>
      <c r="H1241" s="966" t="e">
        <f t="shared" si="138"/>
        <v>#DIV/0!</v>
      </c>
      <c r="I1241" s="965">
        <f t="shared" si="140"/>
        <v>4950</v>
      </c>
      <c r="J1241" s="967">
        <f t="shared" si="140"/>
        <v>1861</v>
      </c>
      <c r="K1241" s="968">
        <f t="shared" si="139"/>
        <v>0.37595959595959594</v>
      </c>
    </row>
    <row r="1242" spans="1:11" ht="24.95" customHeight="1">
      <c r="A1242" s="969" t="s">
        <v>3812</v>
      </c>
      <c r="B1242" s="973" t="s">
        <v>3813</v>
      </c>
      <c r="C1242" s="971">
        <v>5000</v>
      </c>
      <c r="D1242" s="971">
        <v>1861</v>
      </c>
      <c r="E1242" s="966">
        <f t="shared" si="137"/>
        <v>0.37219999999999998</v>
      </c>
      <c r="F1242" s="972"/>
      <c r="G1242" s="972"/>
      <c r="H1242" s="966" t="e">
        <f t="shared" si="138"/>
        <v>#DIV/0!</v>
      </c>
      <c r="I1242" s="965">
        <f t="shared" si="140"/>
        <v>5000</v>
      </c>
      <c r="J1242" s="967">
        <f t="shared" si="140"/>
        <v>1861</v>
      </c>
      <c r="K1242" s="968">
        <f t="shared" si="139"/>
        <v>0.37219999999999998</v>
      </c>
    </row>
    <row r="1243" spans="1:11" ht="24.95" customHeight="1">
      <c r="A1243" s="969" t="s">
        <v>1933</v>
      </c>
      <c r="B1243" s="973" t="s">
        <v>3144</v>
      </c>
      <c r="C1243" s="971">
        <v>2</v>
      </c>
      <c r="D1243" s="971"/>
      <c r="E1243" s="966">
        <f t="shared" si="137"/>
        <v>0</v>
      </c>
      <c r="F1243" s="972">
        <v>410</v>
      </c>
      <c r="G1243" s="972"/>
      <c r="H1243" s="966">
        <f t="shared" si="138"/>
        <v>0</v>
      </c>
      <c r="I1243" s="965">
        <f t="shared" si="140"/>
        <v>412</v>
      </c>
      <c r="J1243" s="967">
        <f t="shared" si="140"/>
        <v>0</v>
      </c>
      <c r="K1243" s="968">
        <f t="shared" si="139"/>
        <v>0</v>
      </c>
    </row>
    <row r="1244" spans="1:11" ht="24.95" customHeight="1">
      <c r="A1244" s="977" t="s">
        <v>3145</v>
      </c>
      <c r="B1244" s="978" t="s">
        <v>3146</v>
      </c>
      <c r="C1244" s="971">
        <v>7570</v>
      </c>
      <c r="D1244" s="971">
        <v>3437</v>
      </c>
      <c r="E1244" s="966">
        <f t="shared" si="137"/>
        <v>0.45402906208718624</v>
      </c>
      <c r="F1244" s="972">
        <v>1</v>
      </c>
      <c r="G1244" s="972"/>
      <c r="H1244" s="966">
        <f t="shared" si="138"/>
        <v>0</v>
      </c>
      <c r="I1244" s="965">
        <f t="shared" si="140"/>
        <v>7571</v>
      </c>
      <c r="J1244" s="967">
        <f t="shared" si="140"/>
        <v>3437</v>
      </c>
      <c r="K1244" s="968">
        <f t="shared" si="139"/>
        <v>0.45396909259014662</v>
      </c>
    </row>
    <row r="1245" spans="1:11" ht="24.95" customHeight="1">
      <c r="A1245" s="969" t="s">
        <v>3814</v>
      </c>
      <c r="B1245" s="973" t="s">
        <v>3815</v>
      </c>
      <c r="C1245" s="971">
        <v>7570</v>
      </c>
      <c r="D1245" s="971">
        <v>3437</v>
      </c>
      <c r="E1245" s="966">
        <f t="shared" si="137"/>
        <v>0.45402906208718624</v>
      </c>
      <c r="F1245" s="972">
        <v>1</v>
      </c>
      <c r="G1245" s="972"/>
      <c r="H1245" s="966">
        <f t="shared" si="138"/>
        <v>0</v>
      </c>
      <c r="I1245" s="965">
        <f t="shared" si="140"/>
        <v>7571</v>
      </c>
      <c r="J1245" s="967">
        <f t="shared" si="140"/>
        <v>3437</v>
      </c>
      <c r="K1245" s="968">
        <f t="shared" si="139"/>
        <v>0.45396909259014662</v>
      </c>
    </row>
    <row r="1246" spans="1:11" ht="24.95" customHeight="1">
      <c r="A1246" s="977" t="s">
        <v>3816</v>
      </c>
      <c r="B1246" s="978" t="s">
        <v>3817</v>
      </c>
      <c r="C1246" s="971">
        <v>7570</v>
      </c>
      <c r="D1246" s="971">
        <v>3437</v>
      </c>
      <c r="E1246" s="966">
        <f t="shared" si="137"/>
        <v>0.45402906208718624</v>
      </c>
      <c r="F1246" s="972">
        <v>1</v>
      </c>
      <c r="G1246" s="972"/>
      <c r="H1246" s="966">
        <f t="shared" si="138"/>
        <v>0</v>
      </c>
      <c r="I1246" s="965">
        <f t="shared" si="140"/>
        <v>7571</v>
      </c>
      <c r="J1246" s="967">
        <f t="shared" si="140"/>
        <v>3437</v>
      </c>
      <c r="K1246" s="968">
        <f t="shared" si="139"/>
        <v>0.45396909259014662</v>
      </c>
    </row>
    <row r="1247" spans="1:11" ht="24.95" customHeight="1">
      <c r="A1247" s="979" t="s">
        <v>2327</v>
      </c>
      <c r="B1247" s="980" t="s">
        <v>2328</v>
      </c>
      <c r="C1247" s="971"/>
      <c r="D1247" s="971"/>
      <c r="E1247" s="966" t="e">
        <f t="shared" si="137"/>
        <v>#DIV/0!</v>
      </c>
      <c r="F1247" s="972">
        <v>120</v>
      </c>
      <c r="G1247" s="972">
        <v>34</v>
      </c>
      <c r="H1247" s="966">
        <f t="shared" si="138"/>
        <v>0.28333333333333333</v>
      </c>
      <c r="I1247" s="965">
        <f t="shared" si="140"/>
        <v>120</v>
      </c>
      <c r="J1247" s="967">
        <f t="shared" si="140"/>
        <v>34</v>
      </c>
      <c r="K1247" s="968">
        <f t="shared" si="139"/>
        <v>0.28333333333333333</v>
      </c>
    </row>
    <row r="1248" spans="1:11" ht="24.95" customHeight="1">
      <c r="A1248" s="969" t="s">
        <v>2176</v>
      </c>
      <c r="B1248" s="973" t="s">
        <v>2177</v>
      </c>
      <c r="C1248" s="971">
        <v>80</v>
      </c>
      <c r="D1248" s="971">
        <v>33</v>
      </c>
      <c r="E1248" s="966">
        <f t="shared" si="137"/>
        <v>0.41249999999999998</v>
      </c>
      <c r="F1248" s="972">
        <v>600</v>
      </c>
      <c r="G1248" s="972">
        <v>239</v>
      </c>
      <c r="H1248" s="966">
        <f t="shared" si="138"/>
        <v>0.39833333333333332</v>
      </c>
      <c r="I1248" s="965">
        <f t="shared" si="140"/>
        <v>680</v>
      </c>
      <c r="J1248" s="967">
        <f t="shared" si="140"/>
        <v>272</v>
      </c>
      <c r="K1248" s="968">
        <f t="shared" si="139"/>
        <v>0.4</v>
      </c>
    </row>
    <row r="1249" spans="1:11" ht="24.95" customHeight="1">
      <c r="A1249" s="979" t="s">
        <v>2620</v>
      </c>
      <c r="B1249" s="980" t="s">
        <v>2621</v>
      </c>
      <c r="C1249" s="971">
        <v>65</v>
      </c>
      <c r="D1249" s="971">
        <v>30</v>
      </c>
      <c r="E1249" s="966">
        <f t="shared" si="137"/>
        <v>0.46153846153846156</v>
      </c>
      <c r="F1249" s="972">
        <v>910</v>
      </c>
      <c r="G1249" s="972">
        <v>334</v>
      </c>
      <c r="H1249" s="966">
        <f t="shared" si="138"/>
        <v>0.36703296703296701</v>
      </c>
      <c r="I1249" s="965">
        <f t="shared" si="140"/>
        <v>975</v>
      </c>
      <c r="J1249" s="967">
        <f t="shared" si="140"/>
        <v>364</v>
      </c>
      <c r="K1249" s="968">
        <f t="shared" si="139"/>
        <v>0.37333333333333335</v>
      </c>
    </row>
    <row r="1250" spans="1:11" ht="24.95" customHeight="1">
      <c r="A1250" s="979" t="s">
        <v>2624</v>
      </c>
      <c r="B1250" s="980" t="s">
        <v>2330</v>
      </c>
      <c r="C1250" s="971"/>
      <c r="D1250" s="971"/>
      <c r="E1250" s="966" t="e">
        <f t="shared" si="137"/>
        <v>#DIV/0!</v>
      </c>
      <c r="F1250" s="972">
        <v>335</v>
      </c>
      <c r="G1250" s="972">
        <v>136</v>
      </c>
      <c r="H1250" s="966">
        <f t="shared" si="138"/>
        <v>0.40597014925373132</v>
      </c>
      <c r="I1250" s="965">
        <f t="shared" si="140"/>
        <v>335</v>
      </c>
      <c r="J1250" s="967">
        <f t="shared" si="140"/>
        <v>136</v>
      </c>
      <c r="K1250" s="968">
        <f t="shared" si="139"/>
        <v>0.40597014925373132</v>
      </c>
    </row>
    <row r="1251" spans="1:11" ht="24.95" customHeight="1">
      <c r="A1251" s="969" t="s">
        <v>2331</v>
      </c>
      <c r="B1251" s="973" t="s">
        <v>2332</v>
      </c>
      <c r="C1251" s="971">
        <v>5</v>
      </c>
      <c r="D1251" s="971">
        <v>1</v>
      </c>
      <c r="E1251" s="966">
        <f t="shared" si="137"/>
        <v>0.2</v>
      </c>
      <c r="F1251" s="972">
        <v>30</v>
      </c>
      <c r="G1251" s="972">
        <v>7</v>
      </c>
      <c r="H1251" s="966">
        <f t="shared" si="138"/>
        <v>0.23333333333333334</v>
      </c>
      <c r="I1251" s="965">
        <f t="shared" si="140"/>
        <v>35</v>
      </c>
      <c r="J1251" s="967">
        <f t="shared" si="140"/>
        <v>8</v>
      </c>
      <c r="K1251" s="968">
        <f t="shared" si="139"/>
        <v>0.22857142857142856</v>
      </c>
    </row>
    <row r="1252" spans="1:11" ht="24.95" customHeight="1">
      <c r="A1252" s="969" t="s">
        <v>2627</v>
      </c>
      <c r="B1252" s="980" t="s">
        <v>2628</v>
      </c>
      <c r="C1252" s="971"/>
      <c r="D1252" s="971"/>
      <c r="E1252" s="966" t="e">
        <f t="shared" si="137"/>
        <v>#DIV/0!</v>
      </c>
      <c r="F1252" s="972">
        <v>5</v>
      </c>
      <c r="G1252" s="972"/>
      <c r="H1252" s="966">
        <f t="shared" si="138"/>
        <v>0</v>
      </c>
      <c r="I1252" s="965">
        <f t="shared" si="140"/>
        <v>5</v>
      </c>
      <c r="J1252" s="967">
        <f t="shared" si="140"/>
        <v>0</v>
      </c>
      <c r="K1252" s="968">
        <f t="shared" si="139"/>
        <v>0</v>
      </c>
    </row>
    <row r="1253" spans="1:11" ht="24.95" customHeight="1">
      <c r="A1253" s="969" t="s">
        <v>2629</v>
      </c>
      <c r="B1253" s="980" t="s">
        <v>2630</v>
      </c>
      <c r="C1253" s="971"/>
      <c r="D1253" s="971"/>
      <c r="E1253" s="966" t="e">
        <f t="shared" si="137"/>
        <v>#DIV/0!</v>
      </c>
      <c r="F1253" s="972">
        <v>10</v>
      </c>
      <c r="G1253" s="972">
        <v>2</v>
      </c>
      <c r="H1253" s="966">
        <f t="shared" si="138"/>
        <v>0.2</v>
      </c>
      <c r="I1253" s="965">
        <f t="shared" si="140"/>
        <v>10</v>
      </c>
      <c r="J1253" s="967">
        <f t="shared" si="140"/>
        <v>2</v>
      </c>
      <c r="K1253" s="968">
        <f t="shared" si="139"/>
        <v>0.2</v>
      </c>
    </row>
    <row r="1254" spans="1:11" ht="24.95" customHeight="1">
      <c r="A1254" s="979" t="s">
        <v>2631</v>
      </c>
      <c r="B1254" s="980" t="s">
        <v>2632</v>
      </c>
      <c r="C1254" s="971"/>
      <c r="D1254" s="971"/>
      <c r="E1254" s="966" t="e">
        <f t="shared" si="137"/>
        <v>#DIV/0!</v>
      </c>
      <c r="F1254" s="972">
        <v>250</v>
      </c>
      <c r="G1254" s="972">
        <v>116</v>
      </c>
      <c r="H1254" s="966">
        <f t="shared" si="138"/>
        <v>0.46400000000000002</v>
      </c>
      <c r="I1254" s="965">
        <f t="shared" si="140"/>
        <v>250</v>
      </c>
      <c r="J1254" s="967">
        <f t="shared" si="140"/>
        <v>116</v>
      </c>
      <c r="K1254" s="968">
        <f t="shared" si="139"/>
        <v>0.46400000000000002</v>
      </c>
    </row>
    <row r="1255" spans="1:11" ht="24.95" customHeight="1">
      <c r="A1255" s="979" t="s">
        <v>2178</v>
      </c>
      <c r="B1255" s="980" t="s">
        <v>2179</v>
      </c>
      <c r="C1255" s="971">
        <v>1</v>
      </c>
      <c r="D1255" s="971">
        <v>2</v>
      </c>
      <c r="E1255" s="966">
        <f t="shared" si="137"/>
        <v>2</v>
      </c>
      <c r="F1255" s="972">
        <v>60</v>
      </c>
      <c r="G1255" s="972">
        <v>23</v>
      </c>
      <c r="H1255" s="966">
        <f t="shared" si="138"/>
        <v>0.38333333333333336</v>
      </c>
      <c r="I1255" s="965">
        <f t="shared" si="140"/>
        <v>61</v>
      </c>
      <c r="J1255" s="967">
        <f t="shared" si="140"/>
        <v>25</v>
      </c>
      <c r="K1255" s="968">
        <f t="shared" si="139"/>
        <v>0.4098360655737705</v>
      </c>
    </row>
    <row r="1256" spans="1:11" ht="24.95" customHeight="1">
      <c r="A1256" s="979" t="s">
        <v>2633</v>
      </c>
      <c r="B1256" s="980" t="s">
        <v>2965</v>
      </c>
      <c r="C1256" s="971"/>
      <c r="D1256" s="971"/>
      <c r="E1256" s="966" t="e">
        <f t="shared" si="137"/>
        <v>#DIV/0!</v>
      </c>
      <c r="F1256" s="972">
        <v>90</v>
      </c>
      <c r="G1256" s="972">
        <v>10</v>
      </c>
      <c r="H1256" s="966">
        <f t="shared" si="138"/>
        <v>0.1111111111111111</v>
      </c>
      <c r="I1256" s="965">
        <f t="shared" si="140"/>
        <v>90</v>
      </c>
      <c r="J1256" s="967">
        <f t="shared" si="140"/>
        <v>10</v>
      </c>
      <c r="K1256" s="968">
        <f t="shared" si="139"/>
        <v>0.1111111111111111</v>
      </c>
    </row>
    <row r="1257" spans="1:11" ht="24.95" customHeight="1">
      <c r="A1257" s="979" t="s">
        <v>2637</v>
      </c>
      <c r="B1257" s="980" t="s">
        <v>2638</v>
      </c>
      <c r="C1257" s="971"/>
      <c r="D1257" s="971"/>
      <c r="E1257" s="966" t="e">
        <f t="shared" si="137"/>
        <v>#DIV/0!</v>
      </c>
      <c r="F1257" s="972">
        <v>6</v>
      </c>
      <c r="G1257" s="972"/>
      <c r="H1257" s="966">
        <f t="shared" si="138"/>
        <v>0</v>
      </c>
      <c r="I1257" s="965">
        <f t="shared" si="140"/>
        <v>6</v>
      </c>
      <c r="J1257" s="967">
        <f t="shared" si="140"/>
        <v>0</v>
      </c>
      <c r="K1257" s="968">
        <f t="shared" si="139"/>
        <v>0</v>
      </c>
    </row>
    <row r="1258" spans="1:11" ht="24.95" customHeight="1">
      <c r="A1258" s="979" t="s">
        <v>2639</v>
      </c>
      <c r="B1258" s="980" t="s">
        <v>3818</v>
      </c>
      <c r="C1258" s="971"/>
      <c r="D1258" s="971"/>
      <c r="E1258" s="966" t="e">
        <f t="shared" si="137"/>
        <v>#DIV/0!</v>
      </c>
      <c r="F1258" s="972">
        <v>2</v>
      </c>
      <c r="G1258" s="972"/>
      <c r="H1258" s="966">
        <f t="shared" si="138"/>
        <v>0</v>
      </c>
      <c r="I1258" s="965">
        <f t="shared" si="140"/>
        <v>2</v>
      </c>
      <c r="J1258" s="967">
        <f t="shared" si="140"/>
        <v>0</v>
      </c>
      <c r="K1258" s="968">
        <f t="shared" si="139"/>
        <v>0</v>
      </c>
    </row>
    <row r="1259" spans="1:11" ht="24.95" customHeight="1">
      <c r="A1259" s="979" t="s">
        <v>2971</v>
      </c>
      <c r="B1259" s="980" t="s">
        <v>3207</v>
      </c>
      <c r="C1259" s="971"/>
      <c r="D1259" s="971"/>
      <c r="E1259" s="966" t="e">
        <f t="shared" si="137"/>
        <v>#DIV/0!</v>
      </c>
      <c r="F1259" s="972">
        <v>2</v>
      </c>
      <c r="G1259" s="972"/>
      <c r="H1259" s="966">
        <f t="shared" si="138"/>
        <v>0</v>
      </c>
      <c r="I1259" s="965">
        <f t="shared" si="140"/>
        <v>2</v>
      </c>
      <c r="J1259" s="967">
        <f t="shared" si="140"/>
        <v>0</v>
      </c>
      <c r="K1259" s="968">
        <f t="shared" si="139"/>
        <v>0</v>
      </c>
    </row>
    <row r="1260" spans="1:11" ht="24.95" customHeight="1">
      <c r="A1260" s="979" t="s">
        <v>2641</v>
      </c>
      <c r="B1260" s="980" t="s">
        <v>3148</v>
      </c>
      <c r="C1260" s="971"/>
      <c r="D1260" s="971"/>
      <c r="E1260" s="966" t="e">
        <f t="shared" si="137"/>
        <v>#DIV/0!</v>
      </c>
      <c r="F1260" s="972">
        <v>30</v>
      </c>
      <c r="G1260" s="972">
        <v>14</v>
      </c>
      <c r="H1260" s="966">
        <f t="shared" si="138"/>
        <v>0.46666666666666667</v>
      </c>
      <c r="I1260" s="965">
        <f t="shared" si="140"/>
        <v>30</v>
      </c>
      <c r="J1260" s="967">
        <f t="shared" si="140"/>
        <v>14</v>
      </c>
      <c r="K1260" s="968">
        <f t="shared" si="139"/>
        <v>0.46666666666666667</v>
      </c>
    </row>
    <row r="1261" spans="1:11" ht="24.95" customHeight="1">
      <c r="A1261" s="979" t="s">
        <v>2643</v>
      </c>
      <c r="B1261" s="980" t="s">
        <v>3819</v>
      </c>
      <c r="C1261" s="971"/>
      <c r="D1261" s="971"/>
      <c r="E1261" s="966" t="e">
        <f t="shared" si="137"/>
        <v>#DIV/0!</v>
      </c>
      <c r="F1261" s="972">
        <v>450</v>
      </c>
      <c r="G1261" s="972">
        <v>99</v>
      </c>
      <c r="H1261" s="966">
        <f t="shared" si="138"/>
        <v>0.22</v>
      </c>
      <c r="I1261" s="965">
        <f t="shared" si="140"/>
        <v>450</v>
      </c>
      <c r="J1261" s="967">
        <f t="shared" si="140"/>
        <v>99</v>
      </c>
      <c r="K1261" s="968">
        <f t="shared" si="139"/>
        <v>0.22</v>
      </c>
    </row>
    <row r="1262" spans="1:11" ht="24.95" customHeight="1">
      <c r="A1262" s="979" t="s">
        <v>2974</v>
      </c>
      <c r="B1262" s="980" t="s">
        <v>2975</v>
      </c>
      <c r="C1262" s="971"/>
      <c r="D1262" s="971"/>
      <c r="E1262" s="966" t="e">
        <f t="shared" si="137"/>
        <v>#DIV/0!</v>
      </c>
      <c r="F1262" s="972">
        <v>25</v>
      </c>
      <c r="G1262" s="972">
        <v>8</v>
      </c>
      <c r="H1262" s="966">
        <f t="shared" si="138"/>
        <v>0.32</v>
      </c>
      <c r="I1262" s="965">
        <f t="shared" si="140"/>
        <v>25</v>
      </c>
      <c r="J1262" s="967">
        <f t="shared" si="140"/>
        <v>8</v>
      </c>
      <c r="K1262" s="968">
        <f t="shared" si="139"/>
        <v>0.32</v>
      </c>
    </row>
    <row r="1263" spans="1:11" ht="24.95" customHeight="1">
      <c r="A1263" s="979" t="s">
        <v>2976</v>
      </c>
      <c r="B1263" s="980" t="s">
        <v>2977</v>
      </c>
      <c r="C1263" s="971"/>
      <c r="D1263" s="971"/>
      <c r="E1263" s="966" t="e">
        <f t="shared" si="137"/>
        <v>#DIV/0!</v>
      </c>
      <c r="F1263" s="972">
        <v>80</v>
      </c>
      <c r="G1263" s="972">
        <v>11</v>
      </c>
      <c r="H1263" s="966">
        <f t="shared" si="138"/>
        <v>0.13750000000000001</v>
      </c>
      <c r="I1263" s="965">
        <f t="shared" si="140"/>
        <v>80</v>
      </c>
      <c r="J1263" s="967">
        <f t="shared" si="140"/>
        <v>11</v>
      </c>
      <c r="K1263" s="968">
        <f t="shared" si="139"/>
        <v>0.13750000000000001</v>
      </c>
    </row>
    <row r="1264" spans="1:11" ht="24.95" customHeight="1">
      <c r="A1264" s="979" t="s">
        <v>2645</v>
      </c>
      <c r="B1264" s="980" t="s">
        <v>2646</v>
      </c>
      <c r="C1264" s="971">
        <v>7</v>
      </c>
      <c r="D1264" s="971">
        <v>2</v>
      </c>
      <c r="E1264" s="966">
        <f t="shared" si="137"/>
        <v>0.2857142857142857</v>
      </c>
      <c r="F1264" s="972">
        <v>3000</v>
      </c>
      <c r="G1264" s="972">
        <v>1197</v>
      </c>
      <c r="H1264" s="966">
        <f t="shared" si="138"/>
        <v>0.39900000000000002</v>
      </c>
      <c r="I1264" s="965">
        <f t="shared" si="140"/>
        <v>3007</v>
      </c>
      <c r="J1264" s="967">
        <f t="shared" si="140"/>
        <v>1199</v>
      </c>
      <c r="K1264" s="968">
        <f t="shared" si="139"/>
        <v>0.39873628200864647</v>
      </c>
    </row>
    <row r="1265" spans="1:11" ht="24.95" customHeight="1">
      <c r="A1265" s="979" t="s">
        <v>2647</v>
      </c>
      <c r="B1265" s="980" t="s">
        <v>3820</v>
      </c>
      <c r="C1265" s="971"/>
      <c r="D1265" s="971"/>
      <c r="E1265" s="966" t="e">
        <f t="shared" si="137"/>
        <v>#DIV/0!</v>
      </c>
      <c r="F1265" s="972">
        <v>5</v>
      </c>
      <c r="G1265" s="972"/>
      <c r="H1265" s="966">
        <f t="shared" si="138"/>
        <v>0</v>
      </c>
      <c r="I1265" s="965">
        <f t="shared" si="140"/>
        <v>5</v>
      </c>
      <c r="J1265" s="967">
        <f t="shared" si="140"/>
        <v>0</v>
      </c>
      <c r="K1265" s="968">
        <f t="shared" si="139"/>
        <v>0</v>
      </c>
    </row>
    <row r="1266" spans="1:11" ht="24.95" customHeight="1">
      <c r="A1266" s="979" t="s">
        <v>2649</v>
      </c>
      <c r="B1266" s="980" t="s">
        <v>2650</v>
      </c>
      <c r="C1266" s="971">
        <v>1</v>
      </c>
      <c r="D1266" s="971"/>
      <c r="E1266" s="966">
        <f t="shared" si="137"/>
        <v>0</v>
      </c>
      <c r="F1266" s="972">
        <v>120</v>
      </c>
      <c r="G1266" s="972"/>
      <c r="H1266" s="966">
        <f t="shared" si="138"/>
        <v>0</v>
      </c>
      <c r="I1266" s="965">
        <f t="shared" si="140"/>
        <v>121</v>
      </c>
      <c r="J1266" s="967">
        <f t="shared" si="140"/>
        <v>0</v>
      </c>
      <c r="K1266" s="968">
        <f t="shared" si="139"/>
        <v>0</v>
      </c>
    </row>
    <row r="1267" spans="1:11" ht="24.95" customHeight="1">
      <c r="A1267" s="979" t="s">
        <v>2667</v>
      </c>
      <c r="B1267" s="980" t="s">
        <v>3821</v>
      </c>
      <c r="C1267" s="971"/>
      <c r="D1267" s="971"/>
      <c r="E1267" s="966" t="e">
        <f t="shared" si="137"/>
        <v>#DIV/0!</v>
      </c>
      <c r="F1267" s="972">
        <v>30</v>
      </c>
      <c r="G1267" s="972">
        <v>12</v>
      </c>
      <c r="H1267" s="966">
        <f t="shared" si="138"/>
        <v>0.4</v>
      </c>
      <c r="I1267" s="965">
        <f t="shared" si="140"/>
        <v>30</v>
      </c>
      <c r="J1267" s="967">
        <f t="shared" si="140"/>
        <v>12</v>
      </c>
      <c r="K1267" s="968">
        <f t="shared" si="139"/>
        <v>0.4</v>
      </c>
    </row>
    <row r="1268" spans="1:11" ht="24.95" customHeight="1">
      <c r="A1268" s="981"/>
      <c r="B1268" s="982" t="s">
        <v>3113</v>
      </c>
      <c r="C1268" s="983">
        <f t="shared" ref="C1268:J1268" si="141">SUM(C1203:C1267)</f>
        <v>45499</v>
      </c>
      <c r="D1268" s="983">
        <f t="shared" si="141"/>
        <v>20441</v>
      </c>
      <c r="E1268" s="966">
        <f t="shared" ref="E1268:E1269" si="142">+D1268/C1268</f>
        <v>0.44926262115650895</v>
      </c>
      <c r="F1268" s="983">
        <f t="shared" si="141"/>
        <v>8691</v>
      </c>
      <c r="G1268" s="983">
        <f t="shared" si="141"/>
        <v>2954</v>
      </c>
      <c r="H1268" s="966">
        <f t="shared" ref="H1268:H1269" si="143">+G1268/F1268</f>
        <v>0.33989184213554252</v>
      </c>
      <c r="I1268" s="983">
        <f t="shared" si="141"/>
        <v>54190</v>
      </c>
      <c r="J1268" s="983">
        <f t="shared" si="141"/>
        <v>23395</v>
      </c>
      <c r="K1268" s="968">
        <f t="shared" ref="K1268:K1269" si="144">+J1268/I1268</f>
        <v>0.43172171987451557</v>
      </c>
    </row>
    <row r="1269" spans="1:11" ht="24.95" customHeight="1">
      <c r="A1269" s="981"/>
      <c r="B1269" s="982" t="s">
        <v>2671</v>
      </c>
      <c r="C1269" s="984">
        <f t="shared" ref="C1269:J1269" si="145">+C1268</f>
        <v>45499</v>
      </c>
      <c r="D1269" s="984">
        <f t="shared" si="145"/>
        <v>20441</v>
      </c>
      <c r="E1269" s="966">
        <f t="shared" si="142"/>
        <v>0.44926262115650895</v>
      </c>
      <c r="F1269" s="984">
        <f t="shared" si="145"/>
        <v>8691</v>
      </c>
      <c r="G1269" s="984">
        <f t="shared" si="145"/>
        <v>2954</v>
      </c>
      <c r="H1269" s="966">
        <f t="shared" si="143"/>
        <v>0.33989184213554252</v>
      </c>
      <c r="I1269" s="984">
        <f t="shared" si="145"/>
        <v>54190</v>
      </c>
      <c r="J1269" s="984">
        <f t="shared" si="145"/>
        <v>23395</v>
      </c>
      <c r="K1269" s="968">
        <f t="shared" si="144"/>
        <v>0.43172171987451557</v>
      </c>
    </row>
    <row r="1270" spans="1:11" ht="24.95" customHeight="1">
      <c r="A1270" s="2164" t="s">
        <v>149</v>
      </c>
      <c r="B1270" s="2165"/>
      <c r="C1270" s="2165"/>
      <c r="D1270" s="2165"/>
      <c r="E1270" s="2165"/>
      <c r="F1270" s="2165"/>
      <c r="G1270" s="2165"/>
      <c r="H1270" s="2165"/>
      <c r="I1270" s="2165"/>
      <c r="J1270" s="741"/>
      <c r="K1270" s="740"/>
    </row>
    <row r="1271" spans="1:11" ht="24.95" customHeight="1">
      <c r="A1271" s="2154" t="s">
        <v>208</v>
      </c>
      <c r="B1271" s="2155"/>
      <c r="C1271" s="2139" t="s">
        <v>1852</v>
      </c>
      <c r="D1271" s="2140"/>
      <c r="E1271" s="2140"/>
      <c r="F1271" s="2140"/>
      <c r="G1271" s="2140"/>
      <c r="H1271" s="2140"/>
      <c r="I1271" s="2140"/>
      <c r="J1271" s="2140"/>
      <c r="K1271" s="2140"/>
    </row>
    <row r="1272" spans="1:11" ht="24.95" customHeight="1">
      <c r="A1272" s="2154" t="s">
        <v>209</v>
      </c>
      <c r="B1272" s="2155"/>
      <c r="C1272" s="2137">
        <v>17878735</v>
      </c>
      <c r="D1272" s="2138"/>
      <c r="E1272" s="2138"/>
      <c r="F1272" s="2138"/>
      <c r="G1272" s="2138"/>
      <c r="H1272" s="2138"/>
      <c r="I1272" s="2138"/>
      <c r="J1272" s="2138"/>
      <c r="K1272" s="2138"/>
    </row>
    <row r="1273" spans="1:11" ht="24.95" customHeight="1">
      <c r="A1273" s="2154" t="s">
        <v>211</v>
      </c>
      <c r="B1273" s="2155"/>
      <c r="C1273" s="2139" t="s">
        <v>1812</v>
      </c>
      <c r="D1273" s="2140"/>
      <c r="E1273" s="2140"/>
      <c r="F1273" s="2140"/>
      <c r="G1273" s="2140"/>
      <c r="H1273" s="2140"/>
      <c r="I1273" s="2140"/>
      <c r="J1273" s="2140"/>
      <c r="K1273" s="2140"/>
    </row>
    <row r="1274" spans="1:11" ht="24.95" customHeight="1">
      <c r="A1274" s="2154" t="s">
        <v>210</v>
      </c>
      <c r="B1274" s="2155"/>
      <c r="C1274" s="2156" t="s">
        <v>331</v>
      </c>
      <c r="D1274" s="2157"/>
      <c r="E1274" s="2157"/>
      <c r="F1274" s="2157"/>
      <c r="G1274" s="2157"/>
      <c r="H1274" s="2157"/>
      <c r="I1274" s="2157"/>
      <c r="J1274" s="2157"/>
      <c r="K1274" s="2157"/>
    </row>
    <row r="1275" spans="1:11" ht="24.95" customHeight="1">
      <c r="A1275" s="2158" t="s">
        <v>251</v>
      </c>
      <c r="B1275" s="2159"/>
      <c r="C1275" s="2160" t="s">
        <v>1830</v>
      </c>
      <c r="D1275" s="2161"/>
      <c r="E1275" s="2161"/>
      <c r="F1275" s="2161"/>
      <c r="G1275" s="2161"/>
      <c r="H1275" s="2161"/>
      <c r="I1275" s="2161"/>
      <c r="J1275" s="2161"/>
      <c r="K1275" s="2161"/>
    </row>
    <row r="1276" spans="1:11" ht="24.95" customHeight="1">
      <c r="A1276" s="2152" t="s">
        <v>122</v>
      </c>
      <c r="B1276" s="2153" t="s">
        <v>253</v>
      </c>
      <c r="C1276" s="1935" t="s">
        <v>2038</v>
      </c>
      <c r="D1276" s="1935"/>
      <c r="E1276" s="1935"/>
      <c r="F1276" s="1935" t="s">
        <v>2039</v>
      </c>
      <c r="G1276" s="1935"/>
      <c r="H1276" s="1935"/>
      <c r="I1276" s="1935" t="s">
        <v>90</v>
      </c>
      <c r="J1276" s="1935"/>
      <c r="K1276" s="1935"/>
    </row>
    <row r="1277" spans="1:11" ht="24.95" customHeight="1">
      <c r="A1277" s="2152"/>
      <c r="B1277" s="2153"/>
      <c r="C1277" s="545" t="s">
        <v>368</v>
      </c>
      <c r="D1277" s="985" t="s">
        <v>2040</v>
      </c>
      <c r="E1277" s="546" t="s">
        <v>2041</v>
      </c>
      <c r="F1277" s="545" t="s">
        <v>368</v>
      </c>
      <c r="G1277" s="986" t="s">
        <v>2040</v>
      </c>
      <c r="H1277" s="546" t="s">
        <v>2041</v>
      </c>
      <c r="I1277" s="545" t="s">
        <v>368</v>
      </c>
      <c r="J1277" s="547" t="s">
        <v>2040</v>
      </c>
      <c r="K1277" s="546" t="s">
        <v>2041</v>
      </c>
    </row>
    <row r="1278" spans="1:11" ht="24.95" customHeight="1">
      <c r="A1278" s="987"/>
      <c r="B1278" s="988" t="s">
        <v>2372</v>
      </c>
      <c r="C1278" s="2143"/>
      <c r="D1278" s="2144"/>
      <c r="E1278" s="2144"/>
      <c r="F1278" s="2144"/>
      <c r="G1278" s="2144"/>
      <c r="H1278" s="2144"/>
      <c r="I1278" s="2144"/>
      <c r="J1278" s="2144"/>
      <c r="K1278" s="2145"/>
    </row>
    <row r="1279" spans="1:11" ht="24.95" customHeight="1">
      <c r="A1279" s="989" t="s">
        <v>2373</v>
      </c>
      <c r="B1279" s="990" t="s">
        <v>2374</v>
      </c>
      <c r="C1279" s="991"/>
      <c r="D1279" s="992"/>
      <c r="E1279" s="993" t="e">
        <f>+D1279/C1279</f>
        <v>#DIV/0!</v>
      </c>
      <c r="F1279" s="991">
        <v>1</v>
      </c>
      <c r="G1279" s="994"/>
      <c r="H1279" s="993">
        <f>+G1279/F1279</f>
        <v>0</v>
      </c>
      <c r="I1279" s="991"/>
      <c r="J1279" s="695">
        <f>+D1279+G1279</f>
        <v>0</v>
      </c>
      <c r="K1279" s="650" t="e">
        <f>+J1279/I1279</f>
        <v>#DIV/0!</v>
      </c>
    </row>
    <row r="1280" spans="1:11" ht="24.95" customHeight="1">
      <c r="A1280" s="989" t="s">
        <v>3822</v>
      </c>
      <c r="B1280" s="995" t="s">
        <v>3823</v>
      </c>
      <c r="C1280" s="991"/>
      <c r="D1280" s="992"/>
      <c r="E1280" s="993" t="e">
        <f t="shared" ref="E1280:E1343" si="146">+D1280/C1280</f>
        <v>#DIV/0!</v>
      </c>
      <c r="F1280" s="991">
        <v>1</v>
      </c>
      <c r="G1280" s="994"/>
      <c r="H1280" s="993">
        <f t="shared" ref="H1280:H1343" si="147">+G1280/F1280</f>
        <v>0</v>
      </c>
      <c r="I1280" s="991"/>
      <c r="J1280" s="695">
        <f t="shared" ref="J1280:J1343" si="148">+D1280+G1280</f>
        <v>0</v>
      </c>
      <c r="K1280" s="650" t="e">
        <f t="shared" ref="K1280:K1343" si="149">+J1280/I1280</f>
        <v>#DIV/0!</v>
      </c>
    </row>
    <row r="1281" spans="1:11" ht="24.95" customHeight="1">
      <c r="A1281" s="996" t="s">
        <v>3824</v>
      </c>
      <c r="B1281" s="997" t="s">
        <v>3825</v>
      </c>
      <c r="C1281" s="998">
        <v>605</v>
      </c>
      <c r="D1281" s="999">
        <v>2639</v>
      </c>
      <c r="E1281" s="993">
        <f t="shared" si="146"/>
        <v>4.3619834710743799</v>
      </c>
      <c r="F1281" s="998">
        <v>85</v>
      </c>
      <c r="G1281" s="1000">
        <f>94+29</f>
        <v>123</v>
      </c>
      <c r="H1281" s="993">
        <f t="shared" si="147"/>
        <v>1.4470588235294117</v>
      </c>
      <c r="I1281" s="1001">
        <f t="shared" ref="I1281:I1295" si="150">+C1281+F1281</f>
        <v>690</v>
      </c>
      <c r="J1281" s="695">
        <f t="shared" si="148"/>
        <v>2762</v>
      </c>
      <c r="K1281" s="650">
        <f t="shared" si="149"/>
        <v>4.0028985507246375</v>
      </c>
    </row>
    <row r="1282" spans="1:11" ht="24.95" customHeight="1">
      <c r="A1282" s="996" t="s">
        <v>2381</v>
      </c>
      <c r="B1282" s="997" t="s">
        <v>2382</v>
      </c>
      <c r="C1282" s="998">
        <v>300</v>
      </c>
      <c r="D1282" s="999">
        <v>28</v>
      </c>
      <c r="E1282" s="993">
        <f t="shared" si="146"/>
        <v>9.3333333333333338E-2</v>
      </c>
      <c r="F1282" s="998">
        <v>70</v>
      </c>
      <c r="G1282" s="1000">
        <v>20</v>
      </c>
      <c r="H1282" s="993">
        <f t="shared" si="147"/>
        <v>0.2857142857142857</v>
      </c>
      <c r="I1282" s="1001">
        <f t="shared" si="150"/>
        <v>370</v>
      </c>
      <c r="J1282" s="695">
        <f t="shared" si="148"/>
        <v>48</v>
      </c>
      <c r="K1282" s="650">
        <f t="shared" si="149"/>
        <v>0.12972972972972974</v>
      </c>
    </row>
    <row r="1283" spans="1:11" ht="24.95" customHeight="1">
      <c r="A1283" s="996" t="s">
        <v>3826</v>
      </c>
      <c r="B1283" s="997" t="s">
        <v>3827</v>
      </c>
      <c r="C1283" s="998">
        <v>4650</v>
      </c>
      <c r="D1283" s="999">
        <v>2659</v>
      </c>
      <c r="E1283" s="993">
        <f t="shared" si="146"/>
        <v>0.57182795698924727</v>
      </c>
      <c r="F1283" s="998">
        <v>360</v>
      </c>
      <c r="G1283" s="1000">
        <f>95+29</f>
        <v>124</v>
      </c>
      <c r="H1283" s="993">
        <f t="shared" si="147"/>
        <v>0.34444444444444444</v>
      </c>
      <c r="I1283" s="1001">
        <f t="shared" si="150"/>
        <v>5010</v>
      </c>
      <c r="J1283" s="695">
        <f t="shared" si="148"/>
        <v>2783</v>
      </c>
      <c r="K1283" s="650">
        <f t="shared" si="149"/>
        <v>0.55548902195608785</v>
      </c>
    </row>
    <row r="1284" spans="1:11" ht="24.95" customHeight="1">
      <c r="A1284" s="996" t="s">
        <v>2789</v>
      </c>
      <c r="B1284" s="997" t="s">
        <v>2386</v>
      </c>
      <c r="C1284" s="998">
        <v>35</v>
      </c>
      <c r="D1284" s="999">
        <v>52</v>
      </c>
      <c r="E1284" s="993">
        <f t="shared" si="146"/>
        <v>1.4857142857142858</v>
      </c>
      <c r="F1284" s="998">
        <v>900</v>
      </c>
      <c r="G1284" s="1000">
        <v>634</v>
      </c>
      <c r="H1284" s="993">
        <f t="shared" si="147"/>
        <v>0.70444444444444443</v>
      </c>
      <c r="I1284" s="1001">
        <f t="shared" si="150"/>
        <v>935</v>
      </c>
      <c r="J1284" s="695">
        <f t="shared" si="148"/>
        <v>686</v>
      </c>
      <c r="K1284" s="650">
        <f t="shared" si="149"/>
        <v>0.73368983957219247</v>
      </c>
    </row>
    <row r="1285" spans="1:11" ht="24.95" customHeight="1">
      <c r="A1285" s="996" t="s">
        <v>3828</v>
      </c>
      <c r="B1285" s="997" t="s">
        <v>3829</v>
      </c>
      <c r="C1285" s="998">
        <v>1</v>
      </c>
      <c r="D1285" s="999"/>
      <c r="E1285" s="993">
        <f t="shared" si="146"/>
        <v>0</v>
      </c>
      <c r="F1285" s="998">
        <v>100</v>
      </c>
      <c r="G1285" s="1000"/>
      <c r="H1285" s="993">
        <f t="shared" si="147"/>
        <v>0</v>
      </c>
      <c r="I1285" s="1001">
        <f t="shared" si="150"/>
        <v>101</v>
      </c>
      <c r="J1285" s="695">
        <f t="shared" si="148"/>
        <v>0</v>
      </c>
      <c r="K1285" s="650">
        <f t="shared" si="149"/>
        <v>0</v>
      </c>
    </row>
    <row r="1286" spans="1:11" ht="24.95" customHeight="1">
      <c r="A1286" s="1002" t="s">
        <v>2387</v>
      </c>
      <c r="B1286" s="1003" t="s">
        <v>2388</v>
      </c>
      <c r="C1286" s="998">
        <v>35</v>
      </c>
      <c r="D1286" s="999">
        <v>62</v>
      </c>
      <c r="E1286" s="993">
        <f t="shared" si="146"/>
        <v>1.7714285714285714</v>
      </c>
      <c r="F1286" s="998">
        <v>1010</v>
      </c>
      <c r="G1286" s="1000">
        <v>683</v>
      </c>
      <c r="H1286" s="993">
        <f t="shared" si="147"/>
        <v>0.67623762376237628</v>
      </c>
      <c r="I1286" s="1001">
        <f t="shared" si="150"/>
        <v>1045</v>
      </c>
      <c r="J1286" s="695">
        <f t="shared" si="148"/>
        <v>745</v>
      </c>
      <c r="K1286" s="650">
        <f t="shared" si="149"/>
        <v>0.71291866028708128</v>
      </c>
    </row>
    <row r="1287" spans="1:11" ht="24.95" customHeight="1">
      <c r="A1287" s="1002" t="s">
        <v>3830</v>
      </c>
      <c r="B1287" s="1003" t="s">
        <v>3831</v>
      </c>
      <c r="C1287" s="998"/>
      <c r="D1287" s="999"/>
      <c r="E1287" s="993" t="e">
        <f t="shared" si="146"/>
        <v>#DIV/0!</v>
      </c>
      <c r="F1287" s="998">
        <v>30</v>
      </c>
      <c r="G1287" s="1000">
        <v>25</v>
      </c>
      <c r="H1287" s="993">
        <f t="shared" si="147"/>
        <v>0.83333333333333337</v>
      </c>
      <c r="I1287" s="1001">
        <f t="shared" si="150"/>
        <v>30</v>
      </c>
      <c r="J1287" s="695">
        <f t="shared" si="148"/>
        <v>25</v>
      </c>
      <c r="K1287" s="650">
        <f t="shared" si="149"/>
        <v>0.83333333333333337</v>
      </c>
    </row>
    <row r="1288" spans="1:11" ht="24.95" customHeight="1">
      <c r="A1288" s="996">
        <v>130207</v>
      </c>
      <c r="B1288" s="997" t="s">
        <v>3832</v>
      </c>
      <c r="C1288" s="998">
        <v>45</v>
      </c>
      <c r="D1288" s="999">
        <v>263</v>
      </c>
      <c r="E1288" s="993">
        <f t="shared" si="146"/>
        <v>5.8444444444444441</v>
      </c>
      <c r="F1288" s="998">
        <v>1205</v>
      </c>
      <c r="G1288" s="1000">
        <f>745+3</f>
        <v>748</v>
      </c>
      <c r="H1288" s="993">
        <f t="shared" si="147"/>
        <v>0.62074688796680499</v>
      </c>
      <c r="I1288" s="1001">
        <f t="shared" si="150"/>
        <v>1250</v>
      </c>
      <c r="J1288" s="695">
        <f t="shared" si="148"/>
        <v>1011</v>
      </c>
      <c r="K1288" s="650">
        <f t="shared" si="149"/>
        <v>0.80879999999999996</v>
      </c>
    </row>
    <row r="1289" spans="1:11" ht="24.95" customHeight="1">
      <c r="A1289" s="996" t="s">
        <v>2393</v>
      </c>
      <c r="B1289" s="1004" t="s">
        <v>2394</v>
      </c>
      <c r="C1289" s="998"/>
      <c r="D1289" s="999"/>
      <c r="E1289" s="993" t="e">
        <f t="shared" si="146"/>
        <v>#DIV/0!</v>
      </c>
      <c r="F1289" s="998">
        <v>90</v>
      </c>
      <c r="G1289" s="1000">
        <v>31</v>
      </c>
      <c r="H1289" s="993">
        <f t="shared" si="147"/>
        <v>0.34444444444444444</v>
      </c>
      <c r="I1289" s="1001">
        <f t="shared" si="150"/>
        <v>90</v>
      </c>
      <c r="J1289" s="695">
        <f t="shared" si="148"/>
        <v>31</v>
      </c>
      <c r="K1289" s="650">
        <f t="shared" si="149"/>
        <v>0.34444444444444444</v>
      </c>
    </row>
    <row r="1290" spans="1:11" ht="24.95" customHeight="1">
      <c r="A1290" s="996" t="s">
        <v>2395</v>
      </c>
      <c r="B1290" s="1004" t="s">
        <v>2396</v>
      </c>
      <c r="C1290" s="998"/>
      <c r="D1290" s="999"/>
      <c r="E1290" s="993" t="e">
        <f t="shared" si="146"/>
        <v>#DIV/0!</v>
      </c>
      <c r="F1290" s="998">
        <v>40</v>
      </c>
      <c r="G1290" s="1000">
        <v>9</v>
      </c>
      <c r="H1290" s="993">
        <f t="shared" si="147"/>
        <v>0.22500000000000001</v>
      </c>
      <c r="I1290" s="1001">
        <f t="shared" si="150"/>
        <v>40</v>
      </c>
      <c r="J1290" s="695">
        <f t="shared" si="148"/>
        <v>9</v>
      </c>
      <c r="K1290" s="650">
        <f t="shared" si="149"/>
        <v>0.22500000000000001</v>
      </c>
    </row>
    <row r="1291" spans="1:11" ht="24.95" customHeight="1">
      <c r="A1291" s="996" t="s">
        <v>2397</v>
      </c>
      <c r="B1291" s="1004" t="s">
        <v>2398</v>
      </c>
      <c r="C1291" s="998"/>
      <c r="D1291" s="999"/>
      <c r="E1291" s="993" t="e">
        <f t="shared" si="146"/>
        <v>#DIV/0!</v>
      </c>
      <c r="F1291" s="998">
        <v>50</v>
      </c>
      <c r="G1291" s="1000">
        <v>9</v>
      </c>
      <c r="H1291" s="993">
        <f t="shared" si="147"/>
        <v>0.18</v>
      </c>
      <c r="I1291" s="1001">
        <f t="shared" si="150"/>
        <v>50</v>
      </c>
      <c r="J1291" s="695">
        <f t="shared" si="148"/>
        <v>9</v>
      </c>
      <c r="K1291" s="650">
        <f t="shared" si="149"/>
        <v>0.18</v>
      </c>
    </row>
    <row r="1292" spans="1:11" ht="24.95" customHeight="1">
      <c r="A1292" s="1002" t="s">
        <v>3833</v>
      </c>
      <c r="B1292" s="1005" t="s">
        <v>3834</v>
      </c>
      <c r="C1292" s="998"/>
      <c r="D1292" s="999"/>
      <c r="E1292" s="993" t="e">
        <f t="shared" si="146"/>
        <v>#DIV/0!</v>
      </c>
      <c r="F1292" s="998">
        <v>1</v>
      </c>
      <c r="G1292" s="1000"/>
      <c r="H1292" s="993">
        <f t="shared" si="147"/>
        <v>0</v>
      </c>
      <c r="I1292" s="1001">
        <f t="shared" si="150"/>
        <v>1</v>
      </c>
      <c r="J1292" s="695">
        <f t="shared" si="148"/>
        <v>0</v>
      </c>
      <c r="K1292" s="650">
        <f t="shared" si="149"/>
        <v>0</v>
      </c>
    </row>
    <row r="1293" spans="1:11" ht="24.95" customHeight="1">
      <c r="A1293" s="996" t="s">
        <v>2401</v>
      </c>
      <c r="B1293" s="997" t="s">
        <v>2402</v>
      </c>
      <c r="C1293" s="998">
        <v>5</v>
      </c>
      <c r="D1293" s="999">
        <v>27</v>
      </c>
      <c r="E1293" s="993">
        <f t="shared" si="146"/>
        <v>5.4</v>
      </c>
      <c r="F1293" s="998">
        <v>3400</v>
      </c>
      <c r="G1293" s="1000">
        <v>1266</v>
      </c>
      <c r="H1293" s="993">
        <f t="shared" si="147"/>
        <v>0.37235294117647061</v>
      </c>
      <c r="I1293" s="991">
        <f t="shared" si="150"/>
        <v>3405</v>
      </c>
      <c r="J1293" s="695">
        <f t="shared" si="148"/>
        <v>1293</v>
      </c>
      <c r="K1293" s="650">
        <f t="shared" si="149"/>
        <v>0.37973568281938325</v>
      </c>
    </row>
    <row r="1294" spans="1:11" ht="24.95" customHeight="1">
      <c r="A1294" s="996" t="s">
        <v>2403</v>
      </c>
      <c r="B1294" s="997" t="s">
        <v>3835</v>
      </c>
      <c r="C1294" s="998">
        <v>14</v>
      </c>
      <c r="D1294" s="999">
        <v>22</v>
      </c>
      <c r="E1294" s="993">
        <f t="shared" si="146"/>
        <v>1.5714285714285714</v>
      </c>
      <c r="F1294" s="998">
        <v>70</v>
      </c>
      <c r="G1294" s="1000">
        <v>50</v>
      </c>
      <c r="H1294" s="993">
        <f t="shared" si="147"/>
        <v>0.7142857142857143</v>
      </c>
      <c r="I1294" s="991">
        <f t="shared" si="150"/>
        <v>84</v>
      </c>
      <c r="J1294" s="695">
        <f t="shared" si="148"/>
        <v>72</v>
      </c>
      <c r="K1294" s="650">
        <f t="shared" si="149"/>
        <v>0.8571428571428571</v>
      </c>
    </row>
    <row r="1295" spans="1:11" ht="24.95" customHeight="1">
      <c r="A1295" s="996" t="s">
        <v>2805</v>
      </c>
      <c r="B1295" s="997" t="s">
        <v>3547</v>
      </c>
      <c r="C1295" s="998"/>
      <c r="D1295" s="999"/>
      <c r="E1295" s="993" t="e">
        <f t="shared" si="146"/>
        <v>#DIV/0!</v>
      </c>
      <c r="F1295" s="998">
        <v>335</v>
      </c>
      <c r="G1295" s="1000">
        <v>304</v>
      </c>
      <c r="H1295" s="993">
        <f t="shared" si="147"/>
        <v>0.90746268656716422</v>
      </c>
      <c r="I1295" s="1001">
        <f t="shared" si="150"/>
        <v>335</v>
      </c>
      <c r="J1295" s="695">
        <f t="shared" si="148"/>
        <v>304</v>
      </c>
      <c r="K1295" s="650">
        <f t="shared" si="149"/>
        <v>0.90746268656716422</v>
      </c>
    </row>
    <row r="1296" spans="1:11" ht="24.95" customHeight="1">
      <c r="A1296" s="996">
        <v>250103</v>
      </c>
      <c r="B1296" s="997" t="s">
        <v>3552</v>
      </c>
      <c r="C1296" s="998">
        <v>25</v>
      </c>
      <c r="D1296" s="999">
        <v>51</v>
      </c>
      <c r="E1296" s="993">
        <f t="shared" si="146"/>
        <v>2.04</v>
      </c>
      <c r="F1296" s="998">
        <v>670</v>
      </c>
      <c r="G1296" s="1000">
        <v>866</v>
      </c>
      <c r="H1296" s="993">
        <f t="shared" si="147"/>
        <v>1.2925373134328357</v>
      </c>
      <c r="I1296" s="1001"/>
      <c r="J1296" s="695">
        <f t="shared" si="148"/>
        <v>917</v>
      </c>
      <c r="K1296" s="650" t="e">
        <f t="shared" si="149"/>
        <v>#DIV/0!</v>
      </c>
    </row>
    <row r="1297" spans="1:11" ht="24.95" customHeight="1">
      <c r="A1297" s="996">
        <v>250107</v>
      </c>
      <c r="B1297" s="997" t="s">
        <v>3770</v>
      </c>
      <c r="C1297" s="998"/>
      <c r="D1297" s="999"/>
      <c r="E1297" s="993" t="e">
        <f t="shared" si="146"/>
        <v>#DIV/0!</v>
      </c>
      <c r="F1297" s="998">
        <v>12</v>
      </c>
      <c r="G1297" s="1000">
        <v>27</v>
      </c>
      <c r="H1297" s="993">
        <f t="shared" si="147"/>
        <v>2.25</v>
      </c>
      <c r="I1297" s="1001">
        <f t="shared" ref="I1297:I1311" si="151">+C1297+F1297</f>
        <v>12</v>
      </c>
      <c r="J1297" s="695">
        <f t="shared" si="148"/>
        <v>27</v>
      </c>
      <c r="K1297" s="650">
        <f t="shared" si="149"/>
        <v>2.25</v>
      </c>
    </row>
    <row r="1298" spans="1:11" ht="24.95" customHeight="1">
      <c r="A1298" s="996">
        <v>260092</v>
      </c>
      <c r="B1298" s="997" t="s">
        <v>3836</v>
      </c>
      <c r="C1298" s="998"/>
      <c r="D1298" s="999"/>
      <c r="E1298" s="993" t="e">
        <f t="shared" si="146"/>
        <v>#DIV/0!</v>
      </c>
      <c r="F1298" s="998">
        <v>5</v>
      </c>
      <c r="G1298" s="1000">
        <v>6</v>
      </c>
      <c r="H1298" s="993">
        <f t="shared" si="147"/>
        <v>1.2</v>
      </c>
      <c r="I1298" s="1001">
        <f t="shared" si="151"/>
        <v>5</v>
      </c>
      <c r="J1298" s="695">
        <f t="shared" si="148"/>
        <v>6</v>
      </c>
      <c r="K1298" s="650">
        <f t="shared" si="149"/>
        <v>1.2</v>
      </c>
    </row>
    <row r="1299" spans="1:11" ht="24.95" customHeight="1">
      <c r="A1299" s="996" t="s">
        <v>2423</v>
      </c>
      <c r="B1299" s="997" t="s">
        <v>2424</v>
      </c>
      <c r="C1299" s="998"/>
      <c r="D1299" s="999"/>
      <c r="E1299" s="993" t="e">
        <f t="shared" si="146"/>
        <v>#DIV/0!</v>
      </c>
      <c r="F1299" s="998">
        <v>115</v>
      </c>
      <c r="G1299" s="1000">
        <v>87</v>
      </c>
      <c r="H1299" s="993">
        <f t="shared" si="147"/>
        <v>0.75652173913043474</v>
      </c>
      <c r="I1299" s="1001">
        <f t="shared" si="151"/>
        <v>115</v>
      </c>
      <c r="J1299" s="695">
        <f t="shared" si="148"/>
        <v>87</v>
      </c>
      <c r="K1299" s="650">
        <f t="shared" si="149"/>
        <v>0.75652173913043474</v>
      </c>
    </row>
    <row r="1300" spans="1:11" ht="24.95" customHeight="1">
      <c r="A1300" s="1002" t="s">
        <v>2429</v>
      </c>
      <c r="B1300" s="1006" t="s">
        <v>2430</v>
      </c>
      <c r="C1300" s="998">
        <v>1</v>
      </c>
      <c r="D1300" s="999"/>
      <c r="E1300" s="993">
        <f t="shared" si="146"/>
        <v>0</v>
      </c>
      <c r="F1300" s="998">
        <v>210</v>
      </c>
      <c r="G1300" s="1000">
        <v>113</v>
      </c>
      <c r="H1300" s="993">
        <f t="shared" si="147"/>
        <v>0.53809523809523807</v>
      </c>
      <c r="I1300" s="1001">
        <f t="shared" si="151"/>
        <v>211</v>
      </c>
      <c r="J1300" s="695">
        <f t="shared" si="148"/>
        <v>113</v>
      </c>
      <c r="K1300" s="650">
        <f t="shared" si="149"/>
        <v>0.53554502369668244</v>
      </c>
    </row>
    <row r="1301" spans="1:11" ht="24.95" customHeight="1">
      <c r="A1301" s="1002" t="s">
        <v>3837</v>
      </c>
      <c r="B1301" s="1006" t="s">
        <v>3838</v>
      </c>
      <c r="C1301" s="998">
        <v>1</v>
      </c>
      <c r="D1301" s="999">
        <v>1</v>
      </c>
      <c r="E1301" s="993">
        <f t="shared" si="146"/>
        <v>1</v>
      </c>
      <c r="F1301" s="998">
        <v>2</v>
      </c>
      <c r="G1301" s="1000"/>
      <c r="H1301" s="993">
        <f t="shared" si="147"/>
        <v>0</v>
      </c>
      <c r="I1301" s="1001">
        <f t="shared" si="151"/>
        <v>3</v>
      </c>
      <c r="J1301" s="695">
        <f t="shared" si="148"/>
        <v>1</v>
      </c>
      <c r="K1301" s="650">
        <f t="shared" si="149"/>
        <v>0.33333333333333331</v>
      </c>
    </row>
    <row r="1302" spans="1:11" ht="24.95" customHeight="1">
      <c r="A1302" s="996" t="s">
        <v>3839</v>
      </c>
      <c r="B1302" s="1004" t="s">
        <v>3840</v>
      </c>
      <c r="C1302" s="998">
        <v>50</v>
      </c>
      <c r="D1302" s="999">
        <v>60</v>
      </c>
      <c r="E1302" s="993">
        <f t="shared" si="146"/>
        <v>1.2</v>
      </c>
      <c r="F1302" s="998">
        <v>75</v>
      </c>
      <c r="G1302" s="1000">
        <f>42+5</f>
        <v>47</v>
      </c>
      <c r="H1302" s="993">
        <f t="shared" si="147"/>
        <v>0.62666666666666671</v>
      </c>
      <c r="I1302" s="1001">
        <f t="shared" si="151"/>
        <v>125</v>
      </c>
      <c r="J1302" s="695">
        <f t="shared" si="148"/>
        <v>107</v>
      </c>
      <c r="K1302" s="650">
        <f t="shared" si="149"/>
        <v>0.85599999999999998</v>
      </c>
    </row>
    <row r="1303" spans="1:11" ht="24.95" customHeight="1">
      <c r="A1303" s="996" t="s">
        <v>3841</v>
      </c>
      <c r="B1303" s="1004" t="s">
        <v>3842</v>
      </c>
      <c r="C1303" s="998">
        <v>50</v>
      </c>
      <c r="D1303" s="999">
        <v>60</v>
      </c>
      <c r="E1303" s="993">
        <f t="shared" si="146"/>
        <v>1.2</v>
      </c>
      <c r="F1303" s="998">
        <v>70</v>
      </c>
      <c r="G1303" s="1000">
        <v>49</v>
      </c>
      <c r="H1303" s="993">
        <f t="shared" si="147"/>
        <v>0.7</v>
      </c>
      <c r="I1303" s="1001">
        <f t="shared" si="151"/>
        <v>120</v>
      </c>
      <c r="J1303" s="695">
        <f t="shared" si="148"/>
        <v>109</v>
      </c>
      <c r="K1303" s="650">
        <f t="shared" si="149"/>
        <v>0.90833333333333333</v>
      </c>
    </row>
    <row r="1304" spans="1:11" ht="24.95" customHeight="1">
      <c r="A1304" s="996" t="s">
        <v>3843</v>
      </c>
      <c r="B1304" s="1004" t="s">
        <v>3844</v>
      </c>
      <c r="C1304" s="998">
        <v>100</v>
      </c>
      <c r="D1304" s="999">
        <v>67</v>
      </c>
      <c r="E1304" s="993">
        <f t="shared" si="146"/>
        <v>0.67</v>
      </c>
      <c r="F1304" s="998">
        <v>130</v>
      </c>
      <c r="G1304" s="1000">
        <f>13+41</f>
        <v>54</v>
      </c>
      <c r="H1304" s="993">
        <f t="shared" si="147"/>
        <v>0.41538461538461541</v>
      </c>
      <c r="I1304" s="1001">
        <f t="shared" si="151"/>
        <v>230</v>
      </c>
      <c r="J1304" s="695">
        <f t="shared" si="148"/>
        <v>121</v>
      </c>
      <c r="K1304" s="650">
        <f t="shared" si="149"/>
        <v>0.52608695652173909</v>
      </c>
    </row>
    <row r="1305" spans="1:11" ht="24.95" customHeight="1">
      <c r="A1305" s="996" t="s">
        <v>3845</v>
      </c>
      <c r="B1305" s="1004" t="s">
        <v>3846</v>
      </c>
      <c r="C1305" s="998">
        <v>75</v>
      </c>
      <c r="D1305" s="999">
        <v>23</v>
      </c>
      <c r="E1305" s="993">
        <f t="shared" si="146"/>
        <v>0.30666666666666664</v>
      </c>
      <c r="F1305" s="998">
        <v>70</v>
      </c>
      <c r="G1305" s="1000">
        <v>39</v>
      </c>
      <c r="H1305" s="993">
        <f t="shared" si="147"/>
        <v>0.55714285714285716</v>
      </c>
      <c r="I1305" s="1001">
        <f t="shared" si="151"/>
        <v>145</v>
      </c>
      <c r="J1305" s="695">
        <f t="shared" si="148"/>
        <v>62</v>
      </c>
      <c r="K1305" s="650">
        <f t="shared" si="149"/>
        <v>0.42758620689655175</v>
      </c>
    </row>
    <row r="1306" spans="1:11" ht="24.95" customHeight="1">
      <c r="A1306" s="996">
        <v>600349</v>
      </c>
      <c r="B1306" s="1004" t="s">
        <v>2434</v>
      </c>
      <c r="C1306" s="998"/>
      <c r="D1306" s="999"/>
      <c r="E1306" s="993" t="e">
        <f t="shared" si="146"/>
        <v>#DIV/0!</v>
      </c>
      <c r="F1306" s="998">
        <v>25</v>
      </c>
      <c r="G1306" s="1000"/>
      <c r="H1306" s="993">
        <f t="shared" si="147"/>
        <v>0</v>
      </c>
      <c r="I1306" s="1001">
        <f t="shared" si="151"/>
        <v>25</v>
      </c>
      <c r="J1306" s="695">
        <f t="shared" si="148"/>
        <v>0</v>
      </c>
      <c r="K1306" s="650">
        <f t="shared" si="149"/>
        <v>0</v>
      </c>
    </row>
    <row r="1307" spans="1:11" ht="24.95" customHeight="1">
      <c r="A1307" s="996" t="s">
        <v>3847</v>
      </c>
      <c r="B1307" s="1004" t="s">
        <v>3076</v>
      </c>
      <c r="C1307" s="998">
        <v>60</v>
      </c>
      <c r="D1307" s="999">
        <v>49</v>
      </c>
      <c r="E1307" s="993">
        <f t="shared" si="146"/>
        <v>0.81666666666666665</v>
      </c>
      <c r="F1307" s="998">
        <v>5</v>
      </c>
      <c r="G1307" s="1000"/>
      <c r="H1307" s="993">
        <f t="shared" si="147"/>
        <v>0</v>
      </c>
      <c r="I1307" s="1001">
        <f t="shared" si="151"/>
        <v>65</v>
      </c>
      <c r="J1307" s="695">
        <f t="shared" si="148"/>
        <v>49</v>
      </c>
      <c r="K1307" s="650">
        <f t="shared" si="149"/>
        <v>0.75384615384615383</v>
      </c>
    </row>
    <row r="1308" spans="1:11" ht="24.95" customHeight="1">
      <c r="A1308" s="996" t="s">
        <v>2435</v>
      </c>
      <c r="B1308" s="1004" t="s">
        <v>2436</v>
      </c>
      <c r="C1308" s="998">
        <v>100</v>
      </c>
      <c r="D1308" s="999">
        <v>206</v>
      </c>
      <c r="E1308" s="993">
        <f t="shared" si="146"/>
        <v>2.06</v>
      </c>
      <c r="F1308" s="998">
        <v>1150</v>
      </c>
      <c r="G1308" s="1000">
        <v>1134</v>
      </c>
      <c r="H1308" s="993">
        <f t="shared" si="147"/>
        <v>0.98608695652173917</v>
      </c>
      <c r="I1308" s="1001">
        <f t="shared" si="151"/>
        <v>1250</v>
      </c>
      <c r="J1308" s="695">
        <f t="shared" si="148"/>
        <v>1340</v>
      </c>
      <c r="K1308" s="650">
        <f t="shared" si="149"/>
        <v>1.0720000000000001</v>
      </c>
    </row>
    <row r="1309" spans="1:11" ht="24.95" customHeight="1">
      <c r="A1309" s="996" t="s">
        <v>2873</v>
      </c>
      <c r="B1309" s="1004" t="s">
        <v>3848</v>
      </c>
      <c r="C1309" s="998">
        <v>2</v>
      </c>
      <c r="D1309" s="999">
        <v>32</v>
      </c>
      <c r="E1309" s="993">
        <f t="shared" si="146"/>
        <v>16</v>
      </c>
      <c r="F1309" s="998">
        <v>560</v>
      </c>
      <c r="G1309" s="1000">
        <v>888</v>
      </c>
      <c r="H1309" s="993">
        <f t="shared" si="147"/>
        <v>1.5857142857142856</v>
      </c>
      <c r="I1309" s="1001">
        <f t="shared" si="151"/>
        <v>562</v>
      </c>
      <c r="J1309" s="695">
        <f t="shared" si="148"/>
        <v>920</v>
      </c>
      <c r="K1309" s="650">
        <f t="shared" si="149"/>
        <v>1.6370106761565837</v>
      </c>
    </row>
    <row r="1310" spans="1:11" ht="24.95" customHeight="1">
      <c r="A1310" s="1007" t="s">
        <v>3849</v>
      </c>
      <c r="B1310" s="997" t="s">
        <v>3850</v>
      </c>
      <c r="C1310" s="998">
        <v>35</v>
      </c>
      <c r="D1310" s="999">
        <v>25</v>
      </c>
      <c r="E1310" s="993">
        <f t="shared" si="146"/>
        <v>0.7142857142857143</v>
      </c>
      <c r="F1310" s="998">
        <v>60</v>
      </c>
      <c r="G1310" s="1000">
        <v>108</v>
      </c>
      <c r="H1310" s="993">
        <f t="shared" si="147"/>
        <v>1.8</v>
      </c>
      <c r="I1310" s="1001">
        <f t="shared" si="151"/>
        <v>95</v>
      </c>
      <c r="J1310" s="695">
        <f t="shared" si="148"/>
        <v>133</v>
      </c>
      <c r="K1310" s="650">
        <f t="shared" si="149"/>
        <v>1.4</v>
      </c>
    </row>
    <row r="1311" spans="1:11" ht="24.95" customHeight="1">
      <c r="A1311" s="1007" t="s">
        <v>2439</v>
      </c>
      <c r="B1311" s="997" t="s">
        <v>2440</v>
      </c>
      <c r="C1311" s="998">
        <v>40</v>
      </c>
      <c r="D1311" s="999">
        <v>50</v>
      </c>
      <c r="E1311" s="993">
        <f t="shared" si="146"/>
        <v>1.25</v>
      </c>
      <c r="F1311" s="998">
        <v>1540</v>
      </c>
      <c r="G1311" s="1000">
        <v>1724</v>
      </c>
      <c r="H1311" s="993">
        <f t="shared" si="147"/>
        <v>1.1194805194805195</v>
      </c>
      <c r="I1311" s="1001">
        <f t="shared" si="151"/>
        <v>1580</v>
      </c>
      <c r="J1311" s="695">
        <f t="shared" si="148"/>
        <v>1774</v>
      </c>
      <c r="K1311" s="650">
        <f t="shared" si="149"/>
        <v>1.1227848101265823</v>
      </c>
    </row>
    <row r="1312" spans="1:11" ht="24.95" customHeight="1">
      <c r="A1312" s="1007" t="s">
        <v>3851</v>
      </c>
      <c r="B1312" s="997" t="s">
        <v>3852</v>
      </c>
      <c r="C1312" s="998"/>
      <c r="D1312" s="999"/>
      <c r="E1312" s="993" t="e">
        <f t="shared" si="146"/>
        <v>#DIV/0!</v>
      </c>
      <c r="F1312" s="998">
        <v>10</v>
      </c>
      <c r="G1312" s="1000"/>
      <c r="H1312" s="993">
        <f t="shared" si="147"/>
        <v>0</v>
      </c>
      <c r="I1312" s="1001"/>
      <c r="J1312" s="695">
        <f t="shared" si="148"/>
        <v>0</v>
      </c>
      <c r="K1312" s="650" t="e">
        <f t="shared" si="149"/>
        <v>#DIV/0!</v>
      </c>
    </row>
    <row r="1313" spans="1:11" ht="24.95" customHeight="1">
      <c r="A1313" s="996" t="s">
        <v>2453</v>
      </c>
      <c r="B1313" s="1004" t="s">
        <v>2454</v>
      </c>
      <c r="C1313" s="998">
        <v>340</v>
      </c>
      <c r="D1313" s="999">
        <v>473</v>
      </c>
      <c r="E1313" s="993">
        <f t="shared" si="146"/>
        <v>1.3911764705882352</v>
      </c>
      <c r="F1313" s="998">
        <v>14605</v>
      </c>
      <c r="G1313" s="1000">
        <v>10073</v>
      </c>
      <c r="H1313" s="993">
        <f t="shared" si="147"/>
        <v>0.68969530982540228</v>
      </c>
      <c r="I1313" s="1001">
        <f t="shared" ref="I1313:J1353" si="152">+C1313+F1313</f>
        <v>14945</v>
      </c>
      <c r="J1313" s="695">
        <f t="shared" si="148"/>
        <v>10546</v>
      </c>
      <c r="K1313" s="650">
        <f t="shared" si="149"/>
        <v>0.70565406490465044</v>
      </c>
    </row>
    <row r="1314" spans="1:11" ht="24.95" customHeight="1">
      <c r="A1314" s="996" t="s">
        <v>2455</v>
      </c>
      <c r="B1314" s="1004" t="s">
        <v>2456</v>
      </c>
      <c r="C1314" s="998">
        <v>125</v>
      </c>
      <c r="D1314" s="999">
        <v>162</v>
      </c>
      <c r="E1314" s="993">
        <f t="shared" si="146"/>
        <v>1.296</v>
      </c>
      <c r="F1314" s="998">
        <v>4680</v>
      </c>
      <c r="G1314" s="1000">
        <v>3063</v>
      </c>
      <c r="H1314" s="993">
        <f t="shared" si="147"/>
        <v>0.65448717948717949</v>
      </c>
      <c r="I1314" s="1001">
        <f t="shared" si="152"/>
        <v>4805</v>
      </c>
      <c r="J1314" s="695">
        <f t="shared" si="148"/>
        <v>3225</v>
      </c>
      <c r="K1314" s="650">
        <f t="shared" si="149"/>
        <v>0.67117585848074923</v>
      </c>
    </row>
    <row r="1315" spans="1:11" ht="24.95" customHeight="1">
      <c r="A1315" s="996" t="s">
        <v>2469</v>
      </c>
      <c r="B1315" s="1004" t="s">
        <v>2470</v>
      </c>
      <c r="C1315" s="998"/>
      <c r="D1315" s="999"/>
      <c r="E1315" s="993" t="e">
        <f t="shared" si="146"/>
        <v>#DIV/0!</v>
      </c>
      <c r="F1315" s="998">
        <v>70</v>
      </c>
      <c r="G1315" s="1000">
        <v>41</v>
      </c>
      <c r="H1315" s="993">
        <f t="shared" si="147"/>
        <v>0.58571428571428574</v>
      </c>
      <c r="I1315" s="1001">
        <f t="shared" si="152"/>
        <v>70</v>
      </c>
      <c r="J1315" s="695">
        <f t="shared" si="148"/>
        <v>41</v>
      </c>
      <c r="K1315" s="650">
        <f t="shared" si="149"/>
        <v>0.58571428571428574</v>
      </c>
    </row>
    <row r="1316" spans="1:11" ht="24.95" customHeight="1">
      <c r="A1316" s="996" t="s">
        <v>2908</v>
      </c>
      <c r="B1316" s="1004" t="s">
        <v>3712</v>
      </c>
      <c r="C1316" s="998"/>
      <c r="D1316" s="999"/>
      <c r="E1316" s="993" t="e">
        <f t="shared" si="146"/>
        <v>#DIV/0!</v>
      </c>
      <c r="F1316" s="998">
        <v>30</v>
      </c>
      <c r="G1316" s="1000">
        <v>15</v>
      </c>
      <c r="H1316" s="993">
        <f t="shared" si="147"/>
        <v>0.5</v>
      </c>
      <c r="I1316" s="1001">
        <f t="shared" si="152"/>
        <v>30</v>
      </c>
      <c r="J1316" s="695">
        <f t="shared" si="148"/>
        <v>15</v>
      </c>
      <c r="K1316" s="650">
        <f t="shared" si="149"/>
        <v>0.5</v>
      </c>
    </row>
    <row r="1317" spans="1:11" ht="24.95" customHeight="1">
      <c r="A1317" s="996" t="s">
        <v>3135</v>
      </c>
      <c r="B1317" s="1008" t="s">
        <v>3715</v>
      </c>
      <c r="C1317" s="998"/>
      <c r="D1317" s="999"/>
      <c r="E1317" s="993" t="e">
        <f t="shared" si="146"/>
        <v>#DIV/0!</v>
      </c>
      <c r="F1317" s="998">
        <v>455</v>
      </c>
      <c r="G1317" s="1000">
        <v>1370</v>
      </c>
      <c r="H1317" s="993">
        <f t="shared" si="147"/>
        <v>3.0109890109890109</v>
      </c>
      <c r="I1317" s="1001">
        <f t="shared" si="152"/>
        <v>455</v>
      </c>
      <c r="J1317" s="695">
        <f t="shared" si="148"/>
        <v>1370</v>
      </c>
      <c r="K1317" s="650">
        <f t="shared" si="149"/>
        <v>3.0109890109890109</v>
      </c>
    </row>
    <row r="1318" spans="1:11" ht="24.95" customHeight="1">
      <c r="A1318" s="996" t="s">
        <v>2933</v>
      </c>
      <c r="B1318" s="1004" t="s">
        <v>2480</v>
      </c>
      <c r="C1318" s="998"/>
      <c r="D1318" s="999"/>
      <c r="E1318" s="993" t="e">
        <f t="shared" si="146"/>
        <v>#DIV/0!</v>
      </c>
      <c r="F1318" s="998">
        <v>2</v>
      </c>
      <c r="G1318" s="1000">
        <v>1</v>
      </c>
      <c r="H1318" s="993">
        <f t="shared" si="147"/>
        <v>0.5</v>
      </c>
      <c r="I1318" s="1001">
        <f t="shared" si="152"/>
        <v>2</v>
      </c>
      <c r="J1318" s="695">
        <f t="shared" si="148"/>
        <v>1</v>
      </c>
      <c r="K1318" s="650">
        <f t="shared" si="149"/>
        <v>0.5</v>
      </c>
    </row>
    <row r="1319" spans="1:11" ht="24.95" customHeight="1">
      <c r="A1319" s="996" t="s">
        <v>2481</v>
      </c>
      <c r="B1319" s="1004" t="s">
        <v>2482</v>
      </c>
      <c r="C1319" s="998"/>
      <c r="D1319" s="999"/>
      <c r="E1319" s="993" t="e">
        <f t="shared" si="146"/>
        <v>#DIV/0!</v>
      </c>
      <c r="F1319" s="998">
        <v>5</v>
      </c>
      <c r="G1319" s="1000">
        <v>1</v>
      </c>
      <c r="H1319" s="993">
        <f t="shared" si="147"/>
        <v>0.2</v>
      </c>
      <c r="I1319" s="1001">
        <f t="shared" si="152"/>
        <v>5</v>
      </c>
      <c r="J1319" s="695">
        <f t="shared" si="148"/>
        <v>1</v>
      </c>
      <c r="K1319" s="650">
        <f t="shared" si="149"/>
        <v>0.2</v>
      </c>
    </row>
    <row r="1320" spans="1:11" ht="24.95" customHeight="1">
      <c r="A1320" s="996" t="s">
        <v>2946</v>
      </c>
      <c r="B1320" s="1004" t="s">
        <v>2947</v>
      </c>
      <c r="C1320" s="998"/>
      <c r="D1320" s="999"/>
      <c r="E1320" s="993" t="e">
        <f t="shared" si="146"/>
        <v>#DIV/0!</v>
      </c>
      <c r="F1320" s="998">
        <v>555</v>
      </c>
      <c r="G1320" s="1000">
        <v>449</v>
      </c>
      <c r="H1320" s="993">
        <f t="shared" si="147"/>
        <v>0.80900900900900896</v>
      </c>
      <c r="I1320" s="1001">
        <f t="shared" si="152"/>
        <v>555</v>
      </c>
      <c r="J1320" s="695">
        <f t="shared" si="148"/>
        <v>449</v>
      </c>
      <c r="K1320" s="650">
        <f t="shared" si="149"/>
        <v>0.80900900900900896</v>
      </c>
    </row>
    <row r="1321" spans="1:11" ht="24.95" customHeight="1">
      <c r="A1321" s="996" t="s">
        <v>3145</v>
      </c>
      <c r="B1321" s="1004" t="s">
        <v>3146</v>
      </c>
      <c r="C1321" s="998">
        <v>2</v>
      </c>
      <c r="D1321" s="999">
        <v>32</v>
      </c>
      <c r="E1321" s="993">
        <f t="shared" si="146"/>
        <v>16</v>
      </c>
      <c r="F1321" s="998">
        <v>10</v>
      </c>
      <c r="G1321" s="1000">
        <v>1</v>
      </c>
      <c r="H1321" s="993">
        <f t="shared" si="147"/>
        <v>0.1</v>
      </c>
      <c r="I1321" s="1001">
        <f t="shared" si="152"/>
        <v>12</v>
      </c>
      <c r="J1321" s="695">
        <f t="shared" si="148"/>
        <v>33</v>
      </c>
      <c r="K1321" s="650">
        <f t="shared" si="149"/>
        <v>2.75</v>
      </c>
    </row>
    <row r="1322" spans="1:11" ht="24.95" customHeight="1">
      <c r="A1322" s="996" t="s">
        <v>3853</v>
      </c>
      <c r="B1322" s="1004" t="s">
        <v>2950</v>
      </c>
      <c r="C1322" s="998">
        <v>2</v>
      </c>
      <c r="D1322" s="999">
        <v>6</v>
      </c>
      <c r="E1322" s="993">
        <f t="shared" si="146"/>
        <v>3</v>
      </c>
      <c r="F1322" s="998">
        <v>590</v>
      </c>
      <c r="G1322" s="1000">
        <v>1</v>
      </c>
      <c r="H1322" s="993">
        <f t="shared" si="147"/>
        <v>1.6949152542372881E-3</v>
      </c>
      <c r="I1322" s="1001">
        <f t="shared" si="152"/>
        <v>592</v>
      </c>
      <c r="J1322" s="695">
        <f t="shared" si="148"/>
        <v>7</v>
      </c>
      <c r="K1322" s="650">
        <f t="shared" si="149"/>
        <v>1.1824324324324325E-2</v>
      </c>
    </row>
    <row r="1323" spans="1:11" ht="24.95" customHeight="1">
      <c r="A1323" s="996" t="s">
        <v>3854</v>
      </c>
      <c r="B1323" s="1004" t="s">
        <v>3855</v>
      </c>
      <c r="C1323" s="998">
        <v>10</v>
      </c>
      <c r="D1323" s="999"/>
      <c r="E1323" s="993">
        <f t="shared" si="146"/>
        <v>0</v>
      </c>
      <c r="F1323" s="998">
        <v>10</v>
      </c>
      <c r="G1323" s="1000"/>
      <c r="H1323" s="993">
        <f t="shared" si="147"/>
        <v>0</v>
      </c>
      <c r="I1323" s="1001">
        <f t="shared" si="152"/>
        <v>20</v>
      </c>
      <c r="J1323" s="695">
        <f t="shared" si="148"/>
        <v>0</v>
      </c>
      <c r="K1323" s="650">
        <f t="shared" si="149"/>
        <v>0</v>
      </c>
    </row>
    <row r="1324" spans="1:11" ht="24.95" customHeight="1">
      <c r="A1324" s="996" t="s">
        <v>3814</v>
      </c>
      <c r="B1324" s="1004" t="s">
        <v>3856</v>
      </c>
      <c r="C1324" s="998"/>
      <c r="D1324" s="999"/>
      <c r="E1324" s="993" t="e">
        <f t="shared" si="146"/>
        <v>#DIV/0!</v>
      </c>
      <c r="F1324" s="998">
        <v>0</v>
      </c>
      <c r="G1324" s="1000">
        <v>1</v>
      </c>
      <c r="H1324" s="993" t="e">
        <f t="shared" si="147"/>
        <v>#DIV/0!</v>
      </c>
      <c r="I1324" s="1001">
        <f t="shared" si="152"/>
        <v>0</v>
      </c>
      <c r="J1324" s="695">
        <f t="shared" si="148"/>
        <v>1</v>
      </c>
      <c r="K1324" s="650" t="e">
        <f t="shared" si="149"/>
        <v>#DIV/0!</v>
      </c>
    </row>
    <row r="1325" spans="1:11" ht="24.95" customHeight="1">
      <c r="A1325" s="996" t="s">
        <v>3857</v>
      </c>
      <c r="B1325" s="1004" t="s">
        <v>3858</v>
      </c>
      <c r="C1325" s="998">
        <v>25</v>
      </c>
      <c r="D1325" s="999">
        <v>176</v>
      </c>
      <c r="E1325" s="993">
        <f t="shared" si="146"/>
        <v>7.04</v>
      </c>
      <c r="F1325" s="998">
        <v>175</v>
      </c>
      <c r="G1325" s="1000">
        <v>320</v>
      </c>
      <c r="H1325" s="993">
        <f t="shared" si="147"/>
        <v>1.8285714285714285</v>
      </c>
      <c r="I1325" s="1001">
        <f t="shared" si="152"/>
        <v>200</v>
      </c>
      <c r="J1325" s="695">
        <f t="shared" si="148"/>
        <v>496</v>
      </c>
      <c r="K1325" s="650">
        <f t="shared" si="149"/>
        <v>2.48</v>
      </c>
    </row>
    <row r="1326" spans="1:11" ht="24.95" customHeight="1">
      <c r="A1326" s="996" t="s">
        <v>3816</v>
      </c>
      <c r="B1326" s="1004" t="s">
        <v>3859</v>
      </c>
      <c r="C1326" s="998">
        <v>30</v>
      </c>
      <c r="D1326" s="999">
        <v>63</v>
      </c>
      <c r="E1326" s="993">
        <f t="shared" si="146"/>
        <v>2.1</v>
      </c>
      <c r="F1326" s="998">
        <v>700</v>
      </c>
      <c r="G1326" s="1000">
        <v>342</v>
      </c>
      <c r="H1326" s="993">
        <f t="shared" si="147"/>
        <v>0.48857142857142855</v>
      </c>
      <c r="I1326" s="1001">
        <f t="shared" si="152"/>
        <v>730</v>
      </c>
      <c r="J1326" s="695">
        <f t="shared" si="148"/>
        <v>405</v>
      </c>
      <c r="K1326" s="650">
        <f t="shared" si="149"/>
        <v>0.5547945205479452</v>
      </c>
    </row>
    <row r="1327" spans="1:11" ht="24.95" customHeight="1">
      <c r="A1327" s="996" t="s">
        <v>2613</v>
      </c>
      <c r="B1327" s="1004" t="s">
        <v>3860</v>
      </c>
      <c r="C1327" s="998">
        <v>60</v>
      </c>
      <c r="D1327" s="999">
        <v>192</v>
      </c>
      <c r="E1327" s="993">
        <f t="shared" si="146"/>
        <v>3.2</v>
      </c>
      <c r="F1327" s="998">
        <v>55</v>
      </c>
      <c r="G1327" s="1000">
        <f>221+69</f>
        <v>290</v>
      </c>
      <c r="H1327" s="993">
        <f t="shared" si="147"/>
        <v>5.2727272727272725</v>
      </c>
      <c r="I1327" s="1001">
        <f t="shared" si="152"/>
        <v>115</v>
      </c>
      <c r="J1327" s="695">
        <f t="shared" si="148"/>
        <v>482</v>
      </c>
      <c r="K1327" s="650">
        <f t="shared" si="149"/>
        <v>4.1913043478260867</v>
      </c>
    </row>
    <row r="1328" spans="1:11" ht="24.95" customHeight="1">
      <c r="A1328" s="996" t="s">
        <v>2615</v>
      </c>
      <c r="B1328" s="1004" t="s">
        <v>3200</v>
      </c>
      <c r="C1328" s="998"/>
      <c r="D1328" s="999"/>
      <c r="E1328" s="993" t="e">
        <f t="shared" si="146"/>
        <v>#DIV/0!</v>
      </c>
      <c r="F1328" s="998">
        <v>760</v>
      </c>
      <c r="G1328" s="1000">
        <v>2950</v>
      </c>
      <c r="H1328" s="993">
        <f t="shared" si="147"/>
        <v>3.8815789473684212</v>
      </c>
      <c r="I1328" s="1001">
        <f t="shared" si="152"/>
        <v>760</v>
      </c>
      <c r="J1328" s="695">
        <f t="shared" si="148"/>
        <v>2950</v>
      </c>
      <c r="K1328" s="650">
        <f t="shared" si="149"/>
        <v>3.8815789473684212</v>
      </c>
    </row>
    <row r="1329" spans="1:11" ht="24.95" customHeight="1">
      <c r="A1329" s="996" t="s">
        <v>3201</v>
      </c>
      <c r="B1329" s="1009" t="s">
        <v>3202</v>
      </c>
      <c r="C1329" s="998"/>
      <c r="D1329" s="999"/>
      <c r="E1329" s="993" t="e">
        <f t="shared" si="146"/>
        <v>#DIV/0!</v>
      </c>
      <c r="F1329" s="998">
        <v>10</v>
      </c>
      <c r="G1329" s="1000"/>
      <c r="H1329" s="993">
        <f t="shared" si="147"/>
        <v>0</v>
      </c>
      <c r="I1329" s="1001">
        <f t="shared" si="152"/>
        <v>10</v>
      </c>
      <c r="J1329" s="695">
        <f t="shared" si="148"/>
        <v>0</v>
      </c>
      <c r="K1329" s="650">
        <f t="shared" si="149"/>
        <v>0</v>
      </c>
    </row>
    <row r="1330" spans="1:11" ht="24.95" customHeight="1">
      <c r="A1330" s="996" t="s">
        <v>2327</v>
      </c>
      <c r="B1330" s="1009" t="s">
        <v>2328</v>
      </c>
      <c r="C1330" s="998">
        <v>1</v>
      </c>
      <c r="D1330" s="999">
        <v>6</v>
      </c>
      <c r="E1330" s="993">
        <f t="shared" si="146"/>
        <v>6</v>
      </c>
      <c r="F1330" s="998">
        <v>60</v>
      </c>
      <c r="G1330" s="1000">
        <v>118</v>
      </c>
      <c r="H1330" s="993">
        <f t="shared" si="147"/>
        <v>1.9666666666666666</v>
      </c>
      <c r="I1330" s="1001">
        <f t="shared" si="152"/>
        <v>61</v>
      </c>
      <c r="J1330" s="695">
        <f t="shared" si="148"/>
        <v>124</v>
      </c>
      <c r="K1330" s="650">
        <f t="shared" si="149"/>
        <v>2.0327868852459017</v>
      </c>
    </row>
    <row r="1331" spans="1:11" ht="24.95" customHeight="1">
      <c r="A1331" s="996" t="s">
        <v>2176</v>
      </c>
      <c r="B1331" s="1004" t="s">
        <v>2177</v>
      </c>
      <c r="C1331" s="998">
        <v>2</v>
      </c>
      <c r="D1331" s="999"/>
      <c r="E1331" s="993">
        <f t="shared" si="146"/>
        <v>0</v>
      </c>
      <c r="F1331" s="998">
        <v>30</v>
      </c>
      <c r="G1331" s="1000">
        <v>5</v>
      </c>
      <c r="H1331" s="993">
        <f t="shared" si="147"/>
        <v>0.16666666666666666</v>
      </c>
      <c r="I1331" s="1001">
        <f t="shared" si="152"/>
        <v>32</v>
      </c>
      <c r="J1331" s="695">
        <f t="shared" si="148"/>
        <v>5</v>
      </c>
      <c r="K1331" s="650">
        <f t="shared" si="149"/>
        <v>0.15625</v>
      </c>
    </row>
    <row r="1332" spans="1:11" ht="24.95" customHeight="1">
      <c r="A1332" s="996" t="s">
        <v>2620</v>
      </c>
      <c r="B1332" s="1004" t="s">
        <v>2621</v>
      </c>
      <c r="C1332" s="998">
        <v>65</v>
      </c>
      <c r="D1332" s="999">
        <v>52</v>
      </c>
      <c r="E1332" s="993">
        <f t="shared" si="146"/>
        <v>0.8</v>
      </c>
      <c r="F1332" s="998">
        <v>1050</v>
      </c>
      <c r="G1332" s="1000">
        <v>698</v>
      </c>
      <c r="H1332" s="993">
        <f t="shared" si="147"/>
        <v>0.66476190476190478</v>
      </c>
      <c r="I1332" s="1001">
        <f t="shared" si="152"/>
        <v>1115</v>
      </c>
      <c r="J1332" s="695">
        <f t="shared" si="148"/>
        <v>750</v>
      </c>
      <c r="K1332" s="650">
        <f t="shared" si="149"/>
        <v>0.67264573991031396</v>
      </c>
    </row>
    <row r="1333" spans="1:11" ht="24.95" customHeight="1">
      <c r="A1333" s="1002" t="s">
        <v>2622</v>
      </c>
      <c r="B1333" s="1003" t="s">
        <v>2962</v>
      </c>
      <c r="C1333" s="998">
        <v>1</v>
      </c>
      <c r="D1333" s="999"/>
      <c r="E1333" s="993">
        <f t="shared" si="146"/>
        <v>0</v>
      </c>
      <c r="F1333" s="998">
        <v>30</v>
      </c>
      <c r="G1333" s="1000">
        <v>3</v>
      </c>
      <c r="H1333" s="993">
        <f t="shared" si="147"/>
        <v>0.1</v>
      </c>
      <c r="I1333" s="1001">
        <f t="shared" si="152"/>
        <v>31</v>
      </c>
      <c r="J1333" s="695">
        <f t="shared" si="148"/>
        <v>3</v>
      </c>
      <c r="K1333" s="650">
        <f t="shared" si="149"/>
        <v>9.6774193548387094E-2</v>
      </c>
    </row>
    <row r="1334" spans="1:11" ht="24.95" customHeight="1">
      <c r="A1334" s="996" t="s">
        <v>2624</v>
      </c>
      <c r="B1334" s="1004" t="s">
        <v>2330</v>
      </c>
      <c r="C1334" s="998">
        <v>75</v>
      </c>
      <c r="D1334" s="999">
        <v>92</v>
      </c>
      <c r="E1334" s="993">
        <f t="shared" si="146"/>
        <v>1.2266666666666666</v>
      </c>
      <c r="F1334" s="998">
        <v>14500</v>
      </c>
      <c r="G1334" s="1000">
        <v>7180</v>
      </c>
      <c r="H1334" s="993">
        <f t="shared" si="147"/>
        <v>0.49517241379310345</v>
      </c>
      <c r="I1334" s="1001">
        <f t="shared" si="152"/>
        <v>14575</v>
      </c>
      <c r="J1334" s="695">
        <f t="shared" si="148"/>
        <v>7272</v>
      </c>
      <c r="K1334" s="650">
        <f t="shared" si="149"/>
        <v>0.49893653516295028</v>
      </c>
    </row>
    <row r="1335" spans="1:11" ht="24.95" customHeight="1">
      <c r="A1335" s="1002" t="s">
        <v>2331</v>
      </c>
      <c r="B1335" s="1003" t="s">
        <v>2332</v>
      </c>
      <c r="C1335" s="998">
        <v>310</v>
      </c>
      <c r="D1335" s="999">
        <v>305</v>
      </c>
      <c r="E1335" s="993">
        <f t="shared" si="146"/>
        <v>0.9838709677419355</v>
      </c>
      <c r="F1335" s="998">
        <v>7270</v>
      </c>
      <c r="G1335" s="1000">
        <v>4021</v>
      </c>
      <c r="H1335" s="993">
        <f t="shared" si="147"/>
        <v>0.55309491059147176</v>
      </c>
      <c r="I1335" s="1001">
        <f t="shared" si="152"/>
        <v>7580</v>
      </c>
      <c r="J1335" s="695">
        <f t="shared" si="148"/>
        <v>4326</v>
      </c>
      <c r="K1335" s="650">
        <f t="shared" si="149"/>
        <v>0.57071240105540899</v>
      </c>
    </row>
    <row r="1336" spans="1:11" ht="24.95" customHeight="1">
      <c r="A1336" s="1002" t="s">
        <v>2627</v>
      </c>
      <c r="B1336" s="1003" t="s">
        <v>2628</v>
      </c>
      <c r="C1336" s="998"/>
      <c r="D1336" s="999"/>
      <c r="E1336" s="993" t="e">
        <f t="shared" si="146"/>
        <v>#DIV/0!</v>
      </c>
      <c r="F1336" s="998">
        <v>10</v>
      </c>
      <c r="G1336" s="1000">
        <v>10</v>
      </c>
      <c r="H1336" s="993">
        <f t="shared" si="147"/>
        <v>1</v>
      </c>
      <c r="I1336" s="1001">
        <f t="shared" si="152"/>
        <v>10</v>
      </c>
      <c r="J1336" s="695">
        <f t="shared" si="148"/>
        <v>10</v>
      </c>
      <c r="K1336" s="650">
        <f t="shared" si="149"/>
        <v>1</v>
      </c>
    </row>
    <row r="1337" spans="1:11" ht="24.95" customHeight="1">
      <c r="A1337" s="996" t="s">
        <v>2629</v>
      </c>
      <c r="B1337" s="1004" t="s">
        <v>2630</v>
      </c>
      <c r="C1337" s="998">
        <v>5</v>
      </c>
      <c r="D1337" s="999">
        <v>13</v>
      </c>
      <c r="E1337" s="993">
        <f t="shared" si="146"/>
        <v>2.6</v>
      </c>
      <c r="F1337" s="998">
        <v>1000</v>
      </c>
      <c r="G1337" s="1000">
        <v>249</v>
      </c>
      <c r="H1337" s="993">
        <f t="shared" si="147"/>
        <v>0.249</v>
      </c>
      <c r="I1337" s="1001">
        <f t="shared" si="152"/>
        <v>1005</v>
      </c>
      <c r="J1337" s="695">
        <f t="shared" si="148"/>
        <v>262</v>
      </c>
      <c r="K1337" s="650">
        <f t="shared" si="149"/>
        <v>0.26069651741293531</v>
      </c>
    </row>
    <row r="1338" spans="1:11" ht="24.95" customHeight="1">
      <c r="A1338" s="996" t="s">
        <v>2631</v>
      </c>
      <c r="B1338" s="1004" t="s">
        <v>2632</v>
      </c>
      <c r="C1338" s="998">
        <v>310</v>
      </c>
      <c r="D1338" s="999">
        <v>343</v>
      </c>
      <c r="E1338" s="993">
        <f t="shared" si="146"/>
        <v>1.1064516129032258</v>
      </c>
      <c r="F1338" s="998">
        <v>13500</v>
      </c>
      <c r="G1338" s="1000">
        <v>8243</v>
      </c>
      <c r="H1338" s="993">
        <f t="shared" si="147"/>
        <v>0.61059259259259258</v>
      </c>
      <c r="I1338" s="1001">
        <f t="shared" si="152"/>
        <v>13810</v>
      </c>
      <c r="J1338" s="695">
        <f t="shared" si="148"/>
        <v>8586</v>
      </c>
      <c r="K1338" s="650">
        <f t="shared" si="149"/>
        <v>0.62172338884866041</v>
      </c>
    </row>
    <row r="1339" spans="1:11" ht="24.95" customHeight="1">
      <c r="A1339" s="996" t="s">
        <v>2178</v>
      </c>
      <c r="B1339" s="1004" t="s">
        <v>2179</v>
      </c>
      <c r="C1339" s="998">
        <v>330</v>
      </c>
      <c r="D1339" s="999">
        <v>376</v>
      </c>
      <c r="E1339" s="993">
        <f t="shared" si="146"/>
        <v>1.1393939393939394</v>
      </c>
      <c r="F1339" s="998">
        <v>9960</v>
      </c>
      <c r="G1339" s="1000">
        <v>6794</v>
      </c>
      <c r="H1339" s="993">
        <f t="shared" si="147"/>
        <v>0.68212851405622488</v>
      </c>
      <c r="I1339" s="1001">
        <f t="shared" si="152"/>
        <v>10290</v>
      </c>
      <c r="J1339" s="695">
        <f t="shared" si="148"/>
        <v>7170</v>
      </c>
      <c r="K1339" s="650">
        <f t="shared" si="149"/>
        <v>0.69679300291545188</v>
      </c>
    </row>
    <row r="1340" spans="1:11" ht="24.95" customHeight="1">
      <c r="A1340" s="1002" t="s">
        <v>2633</v>
      </c>
      <c r="B1340" s="1003" t="s">
        <v>2965</v>
      </c>
      <c r="C1340" s="998">
        <v>15</v>
      </c>
      <c r="D1340" s="999">
        <v>9</v>
      </c>
      <c r="E1340" s="993">
        <f t="shared" si="146"/>
        <v>0.6</v>
      </c>
      <c r="F1340" s="998">
        <v>2940</v>
      </c>
      <c r="G1340" s="1000">
        <v>2198</v>
      </c>
      <c r="H1340" s="993">
        <f t="shared" si="147"/>
        <v>0.74761904761904763</v>
      </c>
      <c r="I1340" s="1001">
        <f t="shared" si="152"/>
        <v>2955</v>
      </c>
      <c r="J1340" s="695">
        <f t="shared" si="148"/>
        <v>2207</v>
      </c>
      <c r="K1340" s="650">
        <f t="shared" si="149"/>
        <v>0.74686971235194588</v>
      </c>
    </row>
    <row r="1341" spans="1:11" ht="24.95" customHeight="1">
      <c r="A1341" s="1002" t="s">
        <v>2637</v>
      </c>
      <c r="B1341" s="1003" t="s">
        <v>2638</v>
      </c>
      <c r="C1341" s="998"/>
      <c r="D1341" s="999"/>
      <c r="E1341" s="993" t="e">
        <f t="shared" si="146"/>
        <v>#DIV/0!</v>
      </c>
      <c r="F1341" s="998">
        <v>1060</v>
      </c>
      <c r="G1341" s="1000">
        <v>944</v>
      </c>
      <c r="H1341" s="993">
        <f t="shared" si="147"/>
        <v>0.89056603773584908</v>
      </c>
      <c r="I1341" s="1001">
        <f t="shared" si="152"/>
        <v>1060</v>
      </c>
      <c r="J1341" s="695">
        <f t="shared" si="148"/>
        <v>944</v>
      </c>
      <c r="K1341" s="650">
        <f t="shared" si="149"/>
        <v>0.89056603773584908</v>
      </c>
    </row>
    <row r="1342" spans="1:11" ht="24.95" customHeight="1">
      <c r="A1342" s="1002" t="s">
        <v>2639</v>
      </c>
      <c r="B1342" s="1003" t="s">
        <v>3048</v>
      </c>
      <c r="C1342" s="998">
        <v>2</v>
      </c>
      <c r="D1342" s="999"/>
      <c r="E1342" s="993">
        <f t="shared" si="146"/>
        <v>0</v>
      </c>
      <c r="F1342" s="998">
        <v>510</v>
      </c>
      <c r="G1342" s="1000">
        <v>68</v>
      </c>
      <c r="H1342" s="993">
        <f t="shared" si="147"/>
        <v>0.13333333333333333</v>
      </c>
      <c r="I1342" s="1001">
        <f t="shared" si="152"/>
        <v>512</v>
      </c>
      <c r="J1342" s="695">
        <f t="shared" si="148"/>
        <v>68</v>
      </c>
      <c r="K1342" s="650">
        <f t="shared" si="149"/>
        <v>0.1328125</v>
      </c>
    </row>
    <row r="1343" spans="1:11" ht="24.95" customHeight="1">
      <c r="A1343" s="1002" t="s">
        <v>2641</v>
      </c>
      <c r="B1343" s="1003" t="s">
        <v>3861</v>
      </c>
      <c r="C1343" s="998"/>
      <c r="D1343" s="999"/>
      <c r="E1343" s="993" t="e">
        <f t="shared" si="146"/>
        <v>#DIV/0!</v>
      </c>
      <c r="F1343" s="998">
        <v>10</v>
      </c>
      <c r="G1343" s="1000"/>
      <c r="H1343" s="993">
        <f t="shared" si="147"/>
        <v>0</v>
      </c>
      <c r="I1343" s="1001">
        <f t="shared" si="152"/>
        <v>10</v>
      </c>
      <c r="J1343" s="695">
        <f t="shared" si="148"/>
        <v>0</v>
      </c>
      <c r="K1343" s="650">
        <f t="shared" si="149"/>
        <v>0</v>
      </c>
    </row>
    <row r="1344" spans="1:11" ht="24.95" customHeight="1">
      <c r="A1344" s="1002" t="s">
        <v>2643</v>
      </c>
      <c r="B1344" s="1003" t="s">
        <v>2973</v>
      </c>
      <c r="C1344" s="998"/>
      <c r="D1344" s="999"/>
      <c r="E1344" s="993" t="e">
        <f t="shared" ref="E1344:E1354" si="153">+D1344/C1344</f>
        <v>#DIV/0!</v>
      </c>
      <c r="F1344" s="998">
        <v>400</v>
      </c>
      <c r="G1344" s="1000">
        <v>365</v>
      </c>
      <c r="H1344" s="993">
        <f t="shared" ref="H1344:H1354" si="154">+G1344/F1344</f>
        <v>0.91249999999999998</v>
      </c>
      <c r="I1344" s="1001">
        <f t="shared" si="152"/>
        <v>400</v>
      </c>
      <c r="J1344" s="695">
        <f t="shared" si="152"/>
        <v>365</v>
      </c>
      <c r="K1344" s="650">
        <f t="shared" ref="K1344:K1354" si="155">+J1344/I1344</f>
        <v>0.91249999999999998</v>
      </c>
    </row>
    <row r="1345" spans="1:11" ht="24.95" customHeight="1">
      <c r="A1345" s="1002" t="s">
        <v>2974</v>
      </c>
      <c r="B1345" s="1010" t="s">
        <v>2975</v>
      </c>
      <c r="C1345" s="998"/>
      <c r="D1345" s="999"/>
      <c r="E1345" s="993" t="e">
        <f t="shared" si="153"/>
        <v>#DIV/0!</v>
      </c>
      <c r="F1345" s="998">
        <v>15</v>
      </c>
      <c r="G1345" s="1000"/>
      <c r="H1345" s="993">
        <f t="shared" si="154"/>
        <v>0</v>
      </c>
      <c r="I1345" s="1001">
        <f t="shared" si="152"/>
        <v>15</v>
      </c>
      <c r="J1345" s="695">
        <f t="shared" si="152"/>
        <v>0</v>
      </c>
      <c r="K1345" s="650">
        <f t="shared" si="155"/>
        <v>0</v>
      </c>
    </row>
    <row r="1346" spans="1:11" ht="24.95" customHeight="1">
      <c r="A1346" s="1002" t="s">
        <v>2976</v>
      </c>
      <c r="B1346" s="1010" t="s">
        <v>2977</v>
      </c>
      <c r="C1346" s="998"/>
      <c r="D1346" s="999"/>
      <c r="E1346" s="993" t="e">
        <f t="shared" si="153"/>
        <v>#DIV/0!</v>
      </c>
      <c r="F1346" s="998">
        <v>20</v>
      </c>
      <c r="G1346" s="1000"/>
      <c r="H1346" s="993">
        <f t="shared" si="154"/>
        <v>0</v>
      </c>
      <c r="I1346" s="1001">
        <f t="shared" si="152"/>
        <v>20</v>
      </c>
      <c r="J1346" s="695">
        <f t="shared" si="152"/>
        <v>0</v>
      </c>
      <c r="K1346" s="650">
        <f t="shared" si="155"/>
        <v>0</v>
      </c>
    </row>
    <row r="1347" spans="1:11" ht="24.95" customHeight="1">
      <c r="A1347" s="1002" t="s">
        <v>3862</v>
      </c>
      <c r="B1347" s="1010" t="s">
        <v>3863</v>
      </c>
      <c r="C1347" s="998"/>
      <c r="D1347" s="999"/>
      <c r="E1347" s="993" t="e">
        <f t="shared" si="153"/>
        <v>#DIV/0!</v>
      </c>
      <c r="F1347" s="998">
        <v>13</v>
      </c>
      <c r="G1347" s="1000">
        <v>5</v>
      </c>
      <c r="H1347" s="993">
        <f t="shared" si="154"/>
        <v>0.38461538461538464</v>
      </c>
      <c r="I1347" s="1001">
        <f t="shared" si="152"/>
        <v>13</v>
      </c>
      <c r="J1347" s="695">
        <f t="shared" si="152"/>
        <v>5</v>
      </c>
      <c r="K1347" s="650">
        <f t="shared" si="155"/>
        <v>0.38461538461538464</v>
      </c>
    </row>
    <row r="1348" spans="1:11" ht="24.95" customHeight="1">
      <c r="A1348" s="1002" t="s">
        <v>3864</v>
      </c>
      <c r="B1348" s="1010" t="s">
        <v>3865</v>
      </c>
      <c r="C1348" s="998">
        <v>210</v>
      </c>
      <c r="D1348" s="999">
        <v>471</v>
      </c>
      <c r="E1348" s="993">
        <f t="shared" si="153"/>
        <v>2.2428571428571429</v>
      </c>
      <c r="F1348" s="998">
        <v>965</v>
      </c>
      <c r="G1348" s="1000">
        <v>680</v>
      </c>
      <c r="H1348" s="993">
        <f t="shared" si="154"/>
        <v>0.70466321243523311</v>
      </c>
      <c r="I1348" s="1001">
        <f t="shared" si="152"/>
        <v>1175</v>
      </c>
      <c r="J1348" s="695">
        <f t="shared" si="152"/>
        <v>1151</v>
      </c>
      <c r="K1348" s="650">
        <f t="shared" si="155"/>
        <v>0.9795744680851064</v>
      </c>
    </row>
    <row r="1349" spans="1:11" ht="24.95" customHeight="1">
      <c r="A1349" s="1002" t="s">
        <v>3866</v>
      </c>
      <c r="B1349" s="1010" t="s">
        <v>3867</v>
      </c>
      <c r="C1349" s="998"/>
      <c r="D1349" s="999"/>
      <c r="E1349" s="993" t="e">
        <f t="shared" si="153"/>
        <v>#DIV/0!</v>
      </c>
      <c r="F1349" s="998">
        <v>30</v>
      </c>
      <c r="G1349" s="1000"/>
      <c r="H1349" s="993">
        <f t="shared" si="154"/>
        <v>0</v>
      </c>
      <c r="I1349" s="1001">
        <f t="shared" si="152"/>
        <v>30</v>
      </c>
      <c r="J1349" s="695">
        <f t="shared" si="152"/>
        <v>0</v>
      </c>
      <c r="K1349" s="650">
        <f t="shared" si="155"/>
        <v>0</v>
      </c>
    </row>
    <row r="1350" spans="1:11" ht="24.95" customHeight="1">
      <c r="A1350" s="1002" t="s">
        <v>2645</v>
      </c>
      <c r="B1350" s="1010" t="s">
        <v>2646</v>
      </c>
      <c r="C1350" s="998"/>
      <c r="D1350" s="999"/>
      <c r="E1350" s="993" t="e">
        <f t="shared" si="153"/>
        <v>#DIV/0!</v>
      </c>
      <c r="F1350" s="998">
        <v>2400</v>
      </c>
      <c r="G1350" s="1000">
        <v>953</v>
      </c>
      <c r="H1350" s="993">
        <f t="shared" si="154"/>
        <v>0.39708333333333334</v>
      </c>
      <c r="I1350" s="1001">
        <f t="shared" si="152"/>
        <v>2400</v>
      </c>
      <c r="J1350" s="695">
        <f t="shared" si="152"/>
        <v>953</v>
      </c>
      <c r="K1350" s="650">
        <f t="shared" si="155"/>
        <v>0.39708333333333334</v>
      </c>
    </row>
    <row r="1351" spans="1:11" ht="24.95" customHeight="1">
      <c r="A1351" s="1002" t="s">
        <v>2667</v>
      </c>
      <c r="B1351" s="1010" t="s">
        <v>3004</v>
      </c>
      <c r="C1351" s="998"/>
      <c r="D1351" s="999">
        <v>356</v>
      </c>
      <c r="E1351" s="993" t="e">
        <f t="shared" si="153"/>
        <v>#DIV/0!</v>
      </c>
      <c r="F1351" s="998">
        <v>35</v>
      </c>
      <c r="G1351" s="1000">
        <f>109+272</f>
        <v>381</v>
      </c>
      <c r="H1351" s="993">
        <f t="shared" si="154"/>
        <v>10.885714285714286</v>
      </c>
      <c r="I1351" s="1001">
        <f t="shared" si="152"/>
        <v>35</v>
      </c>
      <c r="J1351" s="695">
        <f t="shared" si="152"/>
        <v>737</v>
      </c>
      <c r="K1351" s="650">
        <f t="shared" si="155"/>
        <v>21.057142857142857</v>
      </c>
    </row>
    <row r="1352" spans="1:11" ht="24.95" customHeight="1">
      <c r="A1352" s="1002" t="s">
        <v>2669</v>
      </c>
      <c r="B1352" s="1010" t="s">
        <v>3005</v>
      </c>
      <c r="C1352" s="998"/>
      <c r="D1352" s="999">
        <v>4</v>
      </c>
      <c r="E1352" s="993" t="e">
        <f t="shared" si="153"/>
        <v>#DIV/0!</v>
      </c>
      <c r="F1352" s="998">
        <v>25</v>
      </c>
      <c r="G1352" s="1000">
        <f>62+4</f>
        <v>66</v>
      </c>
      <c r="H1352" s="993">
        <f t="shared" si="154"/>
        <v>2.64</v>
      </c>
      <c r="I1352" s="1001">
        <f t="shared" si="152"/>
        <v>25</v>
      </c>
      <c r="J1352" s="695">
        <f t="shared" si="152"/>
        <v>70</v>
      </c>
      <c r="K1352" s="650">
        <f t="shared" si="155"/>
        <v>2.8</v>
      </c>
    </row>
    <row r="1353" spans="1:11" ht="24.95" customHeight="1">
      <c r="A1353" s="1002" t="s">
        <v>3868</v>
      </c>
      <c r="B1353" s="1010" t="s">
        <v>3869</v>
      </c>
      <c r="C1353" s="998">
        <v>1</v>
      </c>
      <c r="D1353" s="999"/>
      <c r="E1353" s="993">
        <f t="shared" si="153"/>
        <v>0</v>
      </c>
      <c r="F1353" s="998">
        <v>10</v>
      </c>
      <c r="G1353" s="1000"/>
      <c r="H1353" s="993">
        <f t="shared" si="154"/>
        <v>0</v>
      </c>
      <c r="I1353" s="1001">
        <f t="shared" si="152"/>
        <v>11</v>
      </c>
      <c r="J1353" s="695">
        <f t="shared" si="152"/>
        <v>0</v>
      </c>
      <c r="K1353" s="650">
        <f t="shared" si="155"/>
        <v>0</v>
      </c>
    </row>
    <row r="1354" spans="1:11" ht="24.95" customHeight="1">
      <c r="A1354" s="1002"/>
      <c r="B1354" s="1010" t="s">
        <v>2</v>
      </c>
      <c r="C1354" s="998">
        <f>SUM(C1279:C1353)</f>
        <v>8150</v>
      </c>
      <c r="D1354" s="998">
        <f>SUM(D1279:D1353)</f>
        <v>9507</v>
      </c>
      <c r="E1354" s="993">
        <f t="shared" si="153"/>
        <v>1.1665030674846626</v>
      </c>
      <c r="F1354" s="998">
        <f>SUM(F1279:F1353)</f>
        <v>91012</v>
      </c>
      <c r="G1354" s="998">
        <f t="shared" ref="G1354" si="156">SUM(G1279:G1353)</f>
        <v>61067</v>
      </c>
      <c r="H1354" s="993">
        <f t="shared" si="154"/>
        <v>0.6709774535226124</v>
      </c>
      <c r="I1354" s="998">
        <f>SUM(I1281:I1353)</f>
        <v>98455</v>
      </c>
      <c r="J1354" s="695">
        <f t="shared" ref="J1354:J1382" si="157">+D1354+G1354</f>
        <v>70574</v>
      </c>
      <c r="K1354" s="650">
        <f t="shared" si="155"/>
        <v>0.7168147884820476</v>
      </c>
    </row>
    <row r="1355" spans="1:11" ht="24.95" customHeight="1">
      <c r="A1355" s="1011"/>
      <c r="B1355" s="1012" t="s">
        <v>3102</v>
      </c>
      <c r="C1355" s="2146"/>
      <c r="D1355" s="2147"/>
      <c r="E1355" s="2147"/>
      <c r="F1355" s="2147"/>
      <c r="G1355" s="2147"/>
      <c r="H1355" s="2147"/>
      <c r="I1355" s="2147"/>
      <c r="J1355" s="2147"/>
      <c r="K1355" s="2148"/>
    </row>
    <row r="1356" spans="1:11" ht="24.95" customHeight="1">
      <c r="A1356" s="996" t="s">
        <v>3824</v>
      </c>
      <c r="B1356" s="997" t="s">
        <v>3825</v>
      </c>
      <c r="C1356" s="998"/>
      <c r="D1356" s="999"/>
      <c r="E1356" s="1013"/>
      <c r="F1356" s="1014">
        <v>5</v>
      </c>
      <c r="G1356" s="1015">
        <v>8</v>
      </c>
      <c r="H1356" s="1016">
        <f>+G1356/F1356</f>
        <v>1.6</v>
      </c>
      <c r="I1356" s="1001">
        <f t="shared" ref="I1356:I1382" si="158">+C1356+F1356</f>
        <v>5</v>
      </c>
      <c r="J1356" s="695">
        <f t="shared" si="157"/>
        <v>8</v>
      </c>
      <c r="K1356" s="650">
        <f>+J1356/I1356</f>
        <v>1.6</v>
      </c>
    </row>
    <row r="1357" spans="1:11" ht="24.95" customHeight="1">
      <c r="A1357" s="996" t="s">
        <v>2381</v>
      </c>
      <c r="B1357" s="997" t="s">
        <v>2382</v>
      </c>
      <c r="C1357" s="998"/>
      <c r="D1357" s="999"/>
      <c r="E1357" s="1013"/>
      <c r="F1357" s="1014">
        <v>4</v>
      </c>
      <c r="G1357" s="1015">
        <v>2</v>
      </c>
      <c r="H1357" s="1016">
        <f t="shared" ref="H1357:H1385" si="159">+G1357/F1357</f>
        <v>0.5</v>
      </c>
      <c r="I1357" s="1001">
        <f t="shared" si="158"/>
        <v>4</v>
      </c>
      <c r="J1357" s="695">
        <f t="shared" si="157"/>
        <v>2</v>
      </c>
      <c r="K1357" s="650">
        <f t="shared" ref="K1357:K1385" si="160">+J1357/I1357</f>
        <v>0.5</v>
      </c>
    </row>
    <row r="1358" spans="1:11" ht="24.95" customHeight="1">
      <c r="A1358" s="996" t="s">
        <v>3826</v>
      </c>
      <c r="B1358" s="997" t="s">
        <v>3827</v>
      </c>
      <c r="C1358" s="998"/>
      <c r="D1358" s="999"/>
      <c r="E1358" s="1013"/>
      <c r="F1358" s="1014">
        <v>20</v>
      </c>
      <c r="G1358" s="1015">
        <v>8</v>
      </c>
      <c r="H1358" s="1016">
        <f t="shared" si="159"/>
        <v>0.4</v>
      </c>
      <c r="I1358" s="1001">
        <f t="shared" si="158"/>
        <v>20</v>
      </c>
      <c r="J1358" s="695">
        <f t="shared" si="157"/>
        <v>8</v>
      </c>
      <c r="K1358" s="650">
        <f t="shared" si="160"/>
        <v>0.4</v>
      </c>
    </row>
    <row r="1359" spans="1:11" ht="24.95" customHeight="1">
      <c r="A1359" s="996" t="s">
        <v>2789</v>
      </c>
      <c r="B1359" s="997" t="s">
        <v>3870</v>
      </c>
      <c r="C1359" s="998"/>
      <c r="D1359" s="999"/>
      <c r="E1359" s="1013"/>
      <c r="F1359" s="1014">
        <v>26</v>
      </c>
      <c r="G1359" s="1017">
        <v>5</v>
      </c>
      <c r="H1359" s="1016">
        <f t="shared" si="159"/>
        <v>0.19230769230769232</v>
      </c>
      <c r="I1359" s="1001">
        <f t="shared" si="158"/>
        <v>26</v>
      </c>
      <c r="J1359" s="695">
        <f t="shared" si="157"/>
        <v>5</v>
      </c>
      <c r="K1359" s="650">
        <f t="shared" si="160"/>
        <v>0.19230769230769232</v>
      </c>
    </row>
    <row r="1360" spans="1:11" ht="24.95" customHeight="1">
      <c r="A1360" s="996" t="s">
        <v>3828</v>
      </c>
      <c r="B1360" s="997" t="s">
        <v>3829</v>
      </c>
      <c r="C1360" s="998"/>
      <c r="D1360" s="999"/>
      <c r="E1360" s="1013"/>
      <c r="F1360" s="1014">
        <v>10</v>
      </c>
      <c r="G1360" s="1017"/>
      <c r="H1360" s="1016">
        <f t="shared" si="159"/>
        <v>0</v>
      </c>
      <c r="I1360" s="1001">
        <f t="shared" si="158"/>
        <v>10</v>
      </c>
      <c r="J1360" s="695">
        <f t="shared" si="157"/>
        <v>0</v>
      </c>
      <c r="K1360" s="650">
        <f t="shared" si="160"/>
        <v>0</v>
      </c>
    </row>
    <row r="1361" spans="1:11" ht="24.95" customHeight="1">
      <c r="A1361" s="1002" t="s">
        <v>2387</v>
      </c>
      <c r="B1361" s="1003" t="s">
        <v>2388</v>
      </c>
      <c r="C1361" s="998"/>
      <c r="D1361" s="999"/>
      <c r="E1361" s="1013"/>
      <c r="F1361" s="1014">
        <v>27</v>
      </c>
      <c r="G1361" s="1017">
        <v>3</v>
      </c>
      <c r="H1361" s="1016">
        <f t="shared" si="159"/>
        <v>0.1111111111111111</v>
      </c>
      <c r="I1361" s="1001">
        <f t="shared" si="158"/>
        <v>27</v>
      </c>
      <c r="J1361" s="695">
        <f t="shared" si="157"/>
        <v>3</v>
      </c>
      <c r="K1361" s="650">
        <f t="shared" si="160"/>
        <v>0.1111111111111111</v>
      </c>
    </row>
    <row r="1362" spans="1:11" ht="24.95" customHeight="1">
      <c r="A1362" s="996">
        <v>130207</v>
      </c>
      <c r="B1362" s="997" t="s">
        <v>3832</v>
      </c>
      <c r="C1362" s="998"/>
      <c r="D1362" s="999"/>
      <c r="E1362" s="1013"/>
      <c r="F1362" s="1014">
        <v>55</v>
      </c>
      <c r="G1362" s="1015">
        <v>19</v>
      </c>
      <c r="H1362" s="1016">
        <f t="shared" si="159"/>
        <v>0.34545454545454546</v>
      </c>
      <c r="I1362" s="1001">
        <f t="shared" si="158"/>
        <v>55</v>
      </c>
      <c r="J1362" s="695">
        <f t="shared" si="157"/>
        <v>19</v>
      </c>
      <c r="K1362" s="650">
        <f t="shared" si="160"/>
        <v>0.34545454545454546</v>
      </c>
    </row>
    <row r="1363" spans="1:11" ht="24.95" customHeight="1">
      <c r="A1363" s="996" t="s">
        <v>3177</v>
      </c>
      <c r="B1363" s="997" t="s">
        <v>2394</v>
      </c>
      <c r="C1363" s="998"/>
      <c r="D1363" s="999"/>
      <c r="E1363" s="1013"/>
      <c r="F1363" s="1014">
        <v>4</v>
      </c>
      <c r="G1363" s="1017">
        <v>1</v>
      </c>
      <c r="H1363" s="1016">
        <f t="shared" si="159"/>
        <v>0.25</v>
      </c>
      <c r="I1363" s="1001">
        <f t="shared" si="158"/>
        <v>4</v>
      </c>
      <c r="J1363" s="695">
        <f t="shared" si="157"/>
        <v>1</v>
      </c>
      <c r="K1363" s="650">
        <f t="shared" si="160"/>
        <v>0.25</v>
      </c>
    </row>
    <row r="1364" spans="1:11" ht="24.95" customHeight="1">
      <c r="A1364" s="996" t="s">
        <v>3179</v>
      </c>
      <c r="B1364" s="997" t="s">
        <v>2396</v>
      </c>
      <c r="C1364" s="998"/>
      <c r="D1364" s="999"/>
      <c r="E1364" s="1013"/>
      <c r="F1364" s="1014">
        <v>1</v>
      </c>
      <c r="G1364" s="1017"/>
      <c r="H1364" s="1016">
        <f t="shared" si="159"/>
        <v>0</v>
      </c>
      <c r="I1364" s="1001">
        <f t="shared" si="158"/>
        <v>1</v>
      </c>
      <c r="J1364" s="695">
        <f t="shared" si="157"/>
        <v>0</v>
      </c>
      <c r="K1364" s="650">
        <f t="shared" si="160"/>
        <v>0</v>
      </c>
    </row>
    <row r="1365" spans="1:11" ht="24.95" customHeight="1">
      <c r="A1365" s="996" t="s">
        <v>2401</v>
      </c>
      <c r="B1365" s="997" t="s">
        <v>2402</v>
      </c>
      <c r="C1365" s="998"/>
      <c r="D1365" s="999"/>
      <c r="E1365" s="1013"/>
      <c r="F1365" s="1014">
        <v>52</v>
      </c>
      <c r="G1365" s="1017">
        <v>42</v>
      </c>
      <c r="H1365" s="1016">
        <f t="shared" si="159"/>
        <v>0.80769230769230771</v>
      </c>
      <c r="I1365" s="1001">
        <f t="shared" si="158"/>
        <v>52</v>
      </c>
      <c r="J1365" s="695">
        <f t="shared" si="157"/>
        <v>42</v>
      </c>
      <c r="K1365" s="650">
        <f t="shared" si="160"/>
        <v>0.80769230769230771</v>
      </c>
    </row>
    <row r="1366" spans="1:11" ht="24.95" customHeight="1">
      <c r="A1366" s="996" t="s">
        <v>3075</v>
      </c>
      <c r="B1366" s="997" t="s">
        <v>3871</v>
      </c>
      <c r="C1366" s="998"/>
      <c r="D1366" s="999"/>
      <c r="E1366" s="1013"/>
      <c r="F1366" s="1014">
        <v>1</v>
      </c>
      <c r="G1366" s="1017">
        <v>1</v>
      </c>
      <c r="H1366" s="1016">
        <f t="shared" si="159"/>
        <v>1</v>
      </c>
      <c r="I1366" s="1001">
        <f t="shared" si="158"/>
        <v>1</v>
      </c>
      <c r="J1366" s="695">
        <f t="shared" si="157"/>
        <v>1</v>
      </c>
      <c r="K1366" s="650">
        <f t="shared" si="160"/>
        <v>1</v>
      </c>
    </row>
    <row r="1367" spans="1:11" ht="24.95" customHeight="1">
      <c r="A1367" s="996" t="s">
        <v>2435</v>
      </c>
      <c r="B1367" s="1004" t="s">
        <v>2436</v>
      </c>
      <c r="C1367" s="998"/>
      <c r="D1367" s="999"/>
      <c r="E1367" s="1013"/>
      <c r="F1367" s="1014">
        <v>42</v>
      </c>
      <c r="G1367" s="1017">
        <v>27</v>
      </c>
      <c r="H1367" s="1016">
        <f t="shared" si="159"/>
        <v>0.6428571428571429</v>
      </c>
      <c r="I1367" s="1001">
        <f t="shared" si="158"/>
        <v>42</v>
      </c>
      <c r="J1367" s="695">
        <f t="shared" si="157"/>
        <v>27</v>
      </c>
      <c r="K1367" s="650">
        <f t="shared" si="160"/>
        <v>0.6428571428571429</v>
      </c>
    </row>
    <row r="1368" spans="1:11" ht="24.95" customHeight="1">
      <c r="A1368" s="1007" t="s">
        <v>2439</v>
      </c>
      <c r="B1368" s="997" t="s">
        <v>2430</v>
      </c>
      <c r="C1368" s="998"/>
      <c r="D1368" s="999"/>
      <c r="E1368" s="1013"/>
      <c r="F1368" s="1014">
        <v>44</v>
      </c>
      <c r="G1368" s="1017">
        <v>24</v>
      </c>
      <c r="H1368" s="1016">
        <f t="shared" si="159"/>
        <v>0.54545454545454541</v>
      </c>
      <c r="I1368" s="1001">
        <f t="shared" si="158"/>
        <v>44</v>
      </c>
      <c r="J1368" s="695">
        <f t="shared" si="157"/>
        <v>24</v>
      </c>
      <c r="K1368" s="650">
        <f t="shared" si="160"/>
        <v>0.54545454545454541</v>
      </c>
    </row>
    <row r="1369" spans="1:11" ht="24.95" customHeight="1">
      <c r="A1369" s="996" t="s">
        <v>2453</v>
      </c>
      <c r="B1369" s="1004" t="s">
        <v>2454</v>
      </c>
      <c r="C1369" s="998"/>
      <c r="D1369" s="999"/>
      <c r="E1369" s="1013"/>
      <c r="F1369" s="1014">
        <v>230</v>
      </c>
      <c r="G1369" s="1017">
        <v>247</v>
      </c>
      <c r="H1369" s="1016">
        <f t="shared" si="159"/>
        <v>1.0739130434782609</v>
      </c>
      <c r="I1369" s="1001">
        <f t="shared" si="158"/>
        <v>230</v>
      </c>
      <c r="J1369" s="695">
        <f t="shared" si="157"/>
        <v>247</v>
      </c>
      <c r="K1369" s="650">
        <f t="shared" si="160"/>
        <v>1.0739130434782609</v>
      </c>
    </row>
    <row r="1370" spans="1:11" ht="24.95" customHeight="1">
      <c r="A1370" s="996" t="s">
        <v>2455</v>
      </c>
      <c r="B1370" s="1004" t="s">
        <v>2456</v>
      </c>
      <c r="C1370" s="998"/>
      <c r="D1370" s="999"/>
      <c r="E1370" s="1013"/>
      <c r="F1370" s="1014">
        <v>85</v>
      </c>
      <c r="G1370" s="1017">
        <v>86</v>
      </c>
      <c r="H1370" s="1016">
        <f t="shared" si="159"/>
        <v>1.0117647058823529</v>
      </c>
      <c r="I1370" s="1001">
        <f t="shared" si="158"/>
        <v>85</v>
      </c>
      <c r="J1370" s="695">
        <f t="shared" si="157"/>
        <v>86</v>
      </c>
      <c r="K1370" s="650">
        <f t="shared" si="160"/>
        <v>1.0117647058823529</v>
      </c>
    </row>
    <row r="1371" spans="1:11" ht="24.95" customHeight="1">
      <c r="A1371" s="996" t="s">
        <v>3853</v>
      </c>
      <c r="B1371" s="1004" t="s">
        <v>2950</v>
      </c>
      <c r="C1371" s="998"/>
      <c r="D1371" s="999"/>
      <c r="E1371" s="1013"/>
      <c r="F1371" s="1014">
        <v>25</v>
      </c>
      <c r="G1371" s="1017"/>
      <c r="H1371" s="1016">
        <f t="shared" si="159"/>
        <v>0</v>
      </c>
      <c r="I1371" s="1001">
        <f t="shared" si="158"/>
        <v>25</v>
      </c>
      <c r="J1371" s="695">
        <f t="shared" si="157"/>
        <v>0</v>
      </c>
      <c r="K1371" s="650">
        <f t="shared" si="160"/>
        <v>0</v>
      </c>
    </row>
    <row r="1372" spans="1:11" ht="24.95" customHeight="1">
      <c r="A1372" s="996" t="s">
        <v>3816</v>
      </c>
      <c r="B1372" s="1004" t="s">
        <v>3859</v>
      </c>
      <c r="C1372" s="998"/>
      <c r="D1372" s="999"/>
      <c r="E1372" s="1013"/>
      <c r="F1372" s="1014">
        <v>26</v>
      </c>
      <c r="G1372" s="1017">
        <v>12</v>
      </c>
      <c r="H1372" s="1016">
        <f t="shared" si="159"/>
        <v>0.46153846153846156</v>
      </c>
      <c r="I1372" s="1001">
        <f t="shared" si="158"/>
        <v>26</v>
      </c>
      <c r="J1372" s="695">
        <f t="shared" si="157"/>
        <v>12</v>
      </c>
      <c r="K1372" s="650">
        <f t="shared" si="160"/>
        <v>0.46153846153846156</v>
      </c>
    </row>
    <row r="1373" spans="1:11" ht="24.95" customHeight="1">
      <c r="A1373" s="996" t="s">
        <v>2327</v>
      </c>
      <c r="B1373" s="1009" t="s">
        <v>2328</v>
      </c>
      <c r="C1373" s="998"/>
      <c r="D1373" s="999"/>
      <c r="E1373" s="1013"/>
      <c r="F1373" s="1014">
        <v>2</v>
      </c>
      <c r="G1373" s="1017"/>
      <c r="H1373" s="1016">
        <f t="shared" si="159"/>
        <v>0</v>
      </c>
      <c r="I1373" s="1001">
        <f t="shared" si="158"/>
        <v>2</v>
      </c>
      <c r="J1373" s="695">
        <f t="shared" si="157"/>
        <v>0</v>
      </c>
      <c r="K1373" s="650">
        <f t="shared" si="160"/>
        <v>0</v>
      </c>
    </row>
    <row r="1374" spans="1:11" ht="24.95" customHeight="1">
      <c r="A1374" s="996" t="s">
        <v>2176</v>
      </c>
      <c r="B1374" s="1009" t="s">
        <v>2177</v>
      </c>
      <c r="C1374" s="998"/>
      <c r="D1374" s="999"/>
      <c r="E1374" s="1013"/>
      <c r="F1374" s="1014">
        <v>4</v>
      </c>
      <c r="G1374" s="1017"/>
      <c r="H1374" s="1016">
        <f t="shared" si="159"/>
        <v>0</v>
      </c>
      <c r="I1374" s="1001">
        <f t="shared" si="158"/>
        <v>4</v>
      </c>
      <c r="J1374" s="695">
        <f t="shared" si="157"/>
        <v>0</v>
      </c>
      <c r="K1374" s="650">
        <f t="shared" si="160"/>
        <v>0</v>
      </c>
    </row>
    <row r="1375" spans="1:11" ht="24.95" customHeight="1">
      <c r="A1375" s="996" t="s">
        <v>2620</v>
      </c>
      <c r="B1375" s="1009" t="s">
        <v>2621</v>
      </c>
      <c r="C1375" s="998"/>
      <c r="D1375" s="999"/>
      <c r="E1375" s="1013"/>
      <c r="F1375" s="1014">
        <v>30</v>
      </c>
      <c r="G1375" s="1017">
        <v>17</v>
      </c>
      <c r="H1375" s="1016">
        <f t="shared" si="159"/>
        <v>0.56666666666666665</v>
      </c>
      <c r="I1375" s="1001">
        <f t="shared" si="158"/>
        <v>30</v>
      </c>
      <c r="J1375" s="695">
        <f t="shared" si="157"/>
        <v>17</v>
      </c>
      <c r="K1375" s="650">
        <f t="shared" si="160"/>
        <v>0.56666666666666665</v>
      </c>
    </row>
    <row r="1376" spans="1:11" ht="24.95" customHeight="1">
      <c r="A1376" s="996" t="s">
        <v>2624</v>
      </c>
      <c r="B1376" s="1004" t="s">
        <v>2330</v>
      </c>
      <c r="C1376" s="998"/>
      <c r="D1376" s="999"/>
      <c r="E1376" s="1013"/>
      <c r="F1376" s="1014">
        <v>460</v>
      </c>
      <c r="G1376" s="1017">
        <v>322</v>
      </c>
      <c r="H1376" s="1016">
        <f t="shared" si="159"/>
        <v>0.7</v>
      </c>
      <c r="I1376" s="1001">
        <f t="shared" si="158"/>
        <v>460</v>
      </c>
      <c r="J1376" s="695">
        <f t="shared" si="157"/>
        <v>322</v>
      </c>
      <c r="K1376" s="650">
        <f t="shared" si="160"/>
        <v>0.7</v>
      </c>
    </row>
    <row r="1377" spans="1:11" ht="24.95" customHeight="1">
      <c r="A1377" s="1002" t="s">
        <v>2331</v>
      </c>
      <c r="B1377" s="1003" t="s">
        <v>2332</v>
      </c>
      <c r="C1377" s="998"/>
      <c r="D1377" s="999"/>
      <c r="E1377" s="1013"/>
      <c r="F1377" s="1014">
        <v>255</v>
      </c>
      <c r="G1377" s="1017">
        <v>184</v>
      </c>
      <c r="H1377" s="1016">
        <f t="shared" si="159"/>
        <v>0.72156862745098038</v>
      </c>
      <c r="I1377" s="1001">
        <f t="shared" si="158"/>
        <v>255</v>
      </c>
      <c r="J1377" s="695">
        <f t="shared" si="157"/>
        <v>184</v>
      </c>
      <c r="K1377" s="650">
        <f t="shared" si="160"/>
        <v>0.72156862745098038</v>
      </c>
    </row>
    <row r="1378" spans="1:11" ht="24.95" customHeight="1">
      <c r="A1378" s="996" t="s">
        <v>2631</v>
      </c>
      <c r="B1378" s="1004" t="s">
        <v>2632</v>
      </c>
      <c r="C1378" s="998"/>
      <c r="D1378" s="999"/>
      <c r="E1378" s="1013"/>
      <c r="F1378" s="1014">
        <v>420</v>
      </c>
      <c r="G1378" s="1017">
        <v>308</v>
      </c>
      <c r="H1378" s="1016">
        <f t="shared" si="159"/>
        <v>0.73333333333333328</v>
      </c>
      <c r="I1378" s="1001">
        <f t="shared" si="158"/>
        <v>420</v>
      </c>
      <c r="J1378" s="695">
        <f t="shared" si="157"/>
        <v>308</v>
      </c>
      <c r="K1378" s="650">
        <f t="shared" si="160"/>
        <v>0.73333333333333328</v>
      </c>
    </row>
    <row r="1379" spans="1:11" ht="24.95" customHeight="1">
      <c r="A1379" s="996" t="s">
        <v>2178</v>
      </c>
      <c r="B1379" s="1004" t="s">
        <v>2179</v>
      </c>
      <c r="C1379" s="998"/>
      <c r="D1379" s="999"/>
      <c r="E1379" s="1013"/>
      <c r="F1379" s="1014">
        <v>255</v>
      </c>
      <c r="G1379" s="1017">
        <v>137</v>
      </c>
      <c r="H1379" s="1016">
        <f t="shared" si="159"/>
        <v>0.53725490196078429</v>
      </c>
      <c r="I1379" s="1001">
        <f t="shared" si="158"/>
        <v>255</v>
      </c>
      <c r="J1379" s="695">
        <f t="shared" si="157"/>
        <v>137</v>
      </c>
      <c r="K1379" s="650">
        <f t="shared" si="160"/>
        <v>0.53725490196078429</v>
      </c>
    </row>
    <row r="1380" spans="1:11" ht="24.95" customHeight="1">
      <c r="A1380" s="1002" t="s">
        <v>2633</v>
      </c>
      <c r="B1380" s="1003" t="s">
        <v>2965</v>
      </c>
      <c r="C1380" s="998"/>
      <c r="D1380" s="999"/>
      <c r="E1380" s="1013"/>
      <c r="F1380" s="1014">
        <v>40</v>
      </c>
      <c r="G1380" s="1017">
        <v>18</v>
      </c>
      <c r="H1380" s="1016">
        <f t="shared" si="159"/>
        <v>0.45</v>
      </c>
      <c r="I1380" s="1001">
        <f t="shared" si="158"/>
        <v>40</v>
      </c>
      <c r="J1380" s="695">
        <f t="shared" si="157"/>
        <v>18</v>
      </c>
      <c r="K1380" s="650">
        <f t="shared" si="160"/>
        <v>0.45</v>
      </c>
    </row>
    <row r="1381" spans="1:11" ht="24.95" customHeight="1">
      <c r="A1381" s="1002" t="s">
        <v>3862</v>
      </c>
      <c r="B1381" s="1010" t="s">
        <v>3863</v>
      </c>
      <c r="C1381" s="998"/>
      <c r="D1381" s="999"/>
      <c r="E1381" s="1013"/>
      <c r="F1381" s="1014">
        <v>2</v>
      </c>
      <c r="G1381" s="1017"/>
      <c r="H1381" s="1016">
        <f t="shared" si="159"/>
        <v>0</v>
      </c>
      <c r="I1381" s="1001">
        <f t="shared" si="158"/>
        <v>2</v>
      </c>
      <c r="J1381" s="695">
        <f t="shared" si="157"/>
        <v>0</v>
      </c>
      <c r="K1381" s="650">
        <f t="shared" si="160"/>
        <v>0</v>
      </c>
    </row>
    <row r="1382" spans="1:11" ht="24.95" customHeight="1">
      <c r="A1382" s="1002" t="s">
        <v>3864</v>
      </c>
      <c r="B1382" s="1010" t="s">
        <v>3872</v>
      </c>
      <c r="C1382" s="998"/>
      <c r="D1382" s="999"/>
      <c r="E1382" s="1013"/>
      <c r="F1382" s="1014">
        <v>25</v>
      </c>
      <c r="G1382" s="1017">
        <v>13</v>
      </c>
      <c r="H1382" s="1016">
        <f t="shared" si="159"/>
        <v>0.52</v>
      </c>
      <c r="I1382" s="1001">
        <f t="shared" si="158"/>
        <v>25</v>
      </c>
      <c r="J1382" s="695">
        <f t="shared" si="157"/>
        <v>13</v>
      </c>
      <c r="K1382" s="650">
        <f t="shared" si="160"/>
        <v>0.52</v>
      </c>
    </row>
    <row r="1383" spans="1:11" ht="24.95" customHeight="1">
      <c r="A1383" s="1018"/>
      <c r="B1383" s="1019" t="s">
        <v>3112</v>
      </c>
      <c r="C1383" s="1014">
        <f t="shared" ref="C1383:J1383" si="161">SUM(C1356:C1382)</f>
        <v>0</v>
      </c>
      <c r="D1383" s="1014">
        <f t="shared" si="161"/>
        <v>0</v>
      </c>
      <c r="E1383" s="1016"/>
      <c r="F1383" s="1014">
        <f t="shared" si="161"/>
        <v>2150</v>
      </c>
      <c r="G1383" s="1014">
        <f t="shared" si="161"/>
        <v>1484</v>
      </c>
      <c r="H1383" s="1016">
        <f t="shared" si="159"/>
        <v>0.69023255813953488</v>
      </c>
      <c r="I1383" s="1014">
        <f t="shared" si="161"/>
        <v>2150</v>
      </c>
      <c r="J1383" s="1014">
        <f t="shared" si="161"/>
        <v>1484</v>
      </c>
      <c r="K1383" s="650">
        <f t="shared" si="160"/>
        <v>0.69023255813953488</v>
      </c>
    </row>
    <row r="1384" spans="1:11" ht="24.95" customHeight="1">
      <c r="A1384" s="987"/>
      <c r="B1384" s="1020" t="s">
        <v>3873</v>
      </c>
      <c r="C1384" s="1014">
        <f t="shared" ref="C1384:J1384" si="162">+C1354</f>
        <v>8150</v>
      </c>
      <c r="D1384" s="1014">
        <f t="shared" si="162"/>
        <v>9507</v>
      </c>
      <c r="E1384" s="1016"/>
      <c r="F1384" s="1014">
        <f t="shared" si="162"/>
        <v>91012</v>
      </c>
      <c r="G1384" s="1014">
        <f t="shared" si="162"/>
        <v>61067</v>
      </c>
      <c r="H1384" s="1016">
        <f t="shared" si="159"/>
        <v>0.6709774535226124</v>
      </c>
      <c r="I1384" s="1014">
        <f t="shared" si="162"/>
        <v>98455</v>
      </c>
      <c r="J1384" s="1014">
        <f t="shared" si="162"/>
        <v>70574</v>
      </c>
      <c r="K1384" s="650">
        <f t="shared" si="160"/>
        <v>0.7168147884820476</v>
      </c>
    </row>
    <row r="1385" spans="1:11" ht="24.95" customHeight="1">
      <c r="A1385" s="987"/>
      <c r="B1385" s="1020" t="s">
        <v>2671</v>
      </c>
      <c r="C1385" s="1014">
        <f t="shared" ref="C1385:J1385" si="163">+C1383+C1384</f>
        <v>8150</v>
      </c>
      <c r="D1385" s="1014">
        <f t="shared" si="163"/>
        <v>9507</v>
      </c>
      <c r="E1385" s="1016"/>
      <c r="F1385" s="1014">
        <f t="shared" si="163"/>
        <v>93162</v>
      </c>
      <c r="G1385" s="1014">
        <f t="shared" si="163"/>
        <v>62551</v>
      </c>
      <c r="H1385" s="1016">
        <f t="shared" si="159"/>
        <v>0.67142182434898345</v>
      </c>
      <c r="I1385" s="1014">
        <f t="shared" si="163"/>
        <v>100605</v>
      </c>
      <c r="J1385" s="1014">
        <f t="shared" si="163"/>
        <v>72058</v>
      </c>
      <c r="K1385" s="650">
        <f t="shared" si="160"/>
        <v>0.71624670742010832</v>
      </c>
    </row>
    <row r="1386" spans="1:11" ht="24.95" customHeight="1">
      <c r="A1386" s="2149" t="s">
        <v>149</v>
      </c>
      <c r="B1386" s="2150"/>
      <c r="C1386" s="2150"/>
      <c r="D1386" s="2150"/>
      <c r="E1386" s="2150"/>
      <c r="F1386" s="2150"/>
      <c r="G1386" s="2150"/>
      <c r="H1386" s="2150"/>
      <c r="I1386" s="2150"/>
      <c r="K1386" s="643"/>
    </row>
    <row r="1387" spans="1:11" ht="24.95" customHeight="1">
      <c r="A1387" s="2151" t="s">
        <v>3874</v>
      </c>
      <c r="B1387" s="2151"/>
      <c r="C1387" s="2151"/>
      <c r="D1387" s="2151"/>
      <c r="E1387" s="2151"/>
      <c r="F1387" s="2151"/>
      <c r="G1387" s="2151"/>
      <c r="H1387" s="2151"/>
      <c r="I1387" s="2151"/>
      <c r="J1387" s="2151"/>
      <c r="K1387" s="2151"/>
    </row>
    <row r="1388" spans="1:11" ht="24.95" customHeight="1">
      <c r="A1388" s="1855" t="s">
        <v>208</v>
      </c>
      <c r="B1388" s="2136"/>
      <c r="C1388" s="2139" t="s">
        <v>1852</v>
      </c>
      <c r="D1388" s="2140"/>
      <c r="E1388" s="2140"/>
      <c r="F1388" s="2140"/>
      <c r="G1388" s="2140"/>
      <c r="H1388" s="2140"/>
      <c r="I1388" s="2140"/>
      <c r="J1388" s="2140"/>
      <c r="K1388" s="2140"/>
    </row>
    <row r="1389" spans="1:11" ht="24.95" customHeight="1">
      <c r="A1389" s="1855" t="s">
        <v>209</v>
      </c>
      <c r="B1389" s="2136"/>
      <c r="C1389" s="2137">
        <v>17878735</v>
      </c>
      <c r="D1389" s="2138"/>
      <c r="E1389" s="2138"/>
      <c r="F1389" s="2138"/>
      <c r="G1389" s="2138"/>
      <c r="H1389" s="2138"/>
      <c r="I1389" s="2138"/>
      <c r="J1389" s="2138"/>
      <c r="K1389" s="2138"/>
    </row>
    <row r="1390" spans="1:11" ht="24.95" customHeight="1">
      <c r="A1390" s="1855" t="s">
        <v>211</v>
      </c>
      <c r="B1390" s="2136"/>
      <c r="C1390" s="2139" t="s">
        <v>1812</v>
      </c>
      <c r="D1390" s="2140"/>
      <c r="E1390" s="2140"/>
      <c r="F1390" s="2140"/>
      <c r="G1390" s="2140"/>
      <c r="H1390" s="2140"/>
      <c r="I1390" s="2140"/>
      <c r="J1390" s="2140"/>
      <c r="K1390" s="2140"/>
    </row>
    <row r="1391" spans="1:11" ht="24.95" customHeight="1">
      <c r="A1391" s="1855" t="s">
        <v>210</v>
      </c>
      <c r="B1391" s="2136"/>
      <c r="C1391" s="2141" t="s">
        <v>331</v>
      </c>
      <c r="D1391" s="2142"/>
      <c r="E1391" s="2142"/>
      <c r="F1391" s="2142"/>
      <c r="G1391" s="2142"/>
      <c r="H1391" s="2142"/>
      <c r="I1391" s="2142"/>
      <c r="J1391" s="2142"/>
      <c r="K1391" s="2142"/>
    </row>
    <row r="1392" spans="1:11" ht="24.95" customHeight="1">
      <c r="A1392" s="2130" t="s">
        <v>251</v>
      </c>
      <c r="B1392" s="2131"/>
      <c r="C1392" s="2132" t="s">
        <v>1905</v>
      </c>
      <c r="D1392" s="2133"/>
      <c r="E1392" s="2133"/>
      <c r="F1392" s="2133"/>
      <c r="G1392" s="2133"/>
      <c r="H1392" s="2133"/>
      <c r="I1392" s="2133"/>
      <c r="J1392" s="2133"/>
      <c r="K1392" s="2133"/>
    </row>
    <row r="1393" spans="1:11" ht="24.95" customHeight="1">
      <c r="A1393" s="2134" t="s">
        <v>122</v>
      </c>
      <c r="B1393" s="2135" t="s">
        <v>253</v>
      </c>
      <c r="C1393" s="1935" t="s">
        <v>2038</v>
      </c>
      <c r="D1393" s="1935"/>
      <c r="E1393" s="1935"/>
      <c r="F1393" s="1935" t="s">
        <v>2039</v>
      </c>
      <c r="G1393" s="1935"/>
      <c r="H1393" s="1935"/>
      <c r="I1393" s="1935" t="s">
        <v>90</v>
      </c>
      <c r="J1393" s="1935"/>
      <c r="K1393" s="1935"/>
    </row>
    <row r="1394" spans="1:11" ht="24.95" customHeight="1">
      <c r="A1394" s="2134"/>
      <c r="B1394" s="2135"/>
      <c r="C1394" s="545" t="s">
        <v>368</v>
      </c>
      <c r="D1394" s="547" t="s">
        <v>2040</v>
      </c>
      <c r="E1394" s="546" t="s">
        <v>2041</v>
      </c>
      <c r="F1394" s="545" t="s">
        <v>368</v>
      </c>
      <c r="G1394" s="547" t="s">
        <v>2040</v>
      </c>
      <c r="H1394" s="546" t="s">
        <v>2041</v>
      </c>
      <c r="I1394" s="545" t="s">
        <v>368</v>
      </c>
      <c r="J1394" s="547" t="s">
        <v>2040</v>
      </c>
      <c r="K1394" s="546" t="s">
        <v>2041</v>
      </c>
    </row>
    <row r="1395" spans="1:11" ht="24.95" customHeight="1">
      <c r="A1395" s="1021"/>
      <c r="B1395" s="1022" t="s">
        <v>1906</v>
      </c>
      <c r="C1395" s="2121"/>
      <c r="D1395" s="2122"/>
      <c r="E1395" s="2122"/>
      <c r="F1395" s="2122"/>
      <c r="G1395" s="2122"/>
      <c r="H1395" s="2122"/>
      <c r="I1395" s="2122"/>
      <c r="J1395" s="2122"/>
      <c r="K1395" s="2122"/>
    </row>
    <row r="1396" spans="1:11" ht="24.95" customHeight="1">
      <c r="A1396" s="1023" t="s">
        <v>2387</v>
      </c>
      <c r="B1396" s="1024" t="s">
        <v>2388</v>
      </c>
      <c r="C1396" s="1025">
        <v>5</v>
      </c>
      <c r="D1396" s="1025">
        <v>1</v>
      </c>
      <c r="E1396" s="1026">
        <f>+D1396/C1396</f>
        <v>0.2</v>
      </c>
      <c r="F1396" s="1025">
        <v>0</v>
      </c>
      <c r="G1396" s="1025">
        <v>0</v>
      </c>
      <c r="H1396" s="1026" t="e">
        <f>+G1396/F1396</f>
        <v>#DIV/0!</v>
      </c>
      <c r="I1396" s="1027">
        <f>+C1396+F1396</f>
        <v>5</v>
      </c>
      <c r="J1396" s="860">
        <f>+D1396+G1396</f>
        <v>1</v>
      </c>
      <c r="K1396" s="1028">
        <f>+J1396/I1396</f>
        <v>0.2</v>
      </c>
    </row>
    <row r="1397" spans="1:11" ht="24.95" customHeight="1">
      <c r="A1397" s="1023" t="s">
        <v>3875</v>
      </c>
      <c r="B1397" s="1024" t="s">
        <v>3876</v>
      </c>
      <c r="C1397" s="1025">
        <v>25</v>
      </c>
      <c r="D1397" s="1025">
        <v>13</v>
      </c>
      <c r="E1397" s="1026">
        <f t="shared" ref="E1397:E1402" si="164">+D1397/C1397</f>
        <v>0.52</v>
      </c>
      <c r="F1397" s="1025">
        <v>7</v>
      </c>
      <c r="G1397" s="1025">
        <v>2</v>
      </c>
      <c r="H1397" s="1026">
        <f t="shared" ref="H1397:H1402" si="165">+G1397/F1397</f>
        <v>0.2857142857142857</v>
      </c>
      <c r="I1397" s="1027">
        <f>+C1397+F1397</f>
        <v>32</v>
      </c>
      <c r="J1397" s="860">
        <f t="shared" ref="J1397:J1401" si="166">+D1397+G1397</f>
        <v>15</v>
      </c>
      <c r="K1397" s="1028">
        <f t="shared" ref="K1397:K1402" si="167">+J1397/I1397</f>
        <v>0.46875</v>
      </c>
    </row>
    <row r="1398" spans="1:11" ht="24.95" customHeight="1">
      <c r="A1398" s="1023" t="s">
        <v>3877</v>
      </c>
      <c r="B1398" s="1024" t="s">
        <v>3878</v>
      </c>
      <c r="C1398" s="1025">
        <v>5</v>
      </c>
      <c r="D1398" s="1025">
        <v>6</v>
      </c>
      <c r="E1398" s="1026">
        <f t="shared" si="164"/>
        <v>1.2</v>
      </c>
      <c r="F1398" s="1025">
        <v>30</v>
      </c>
      <c r="G1398" s="1025">
        <v>8</v>
      </c>
      <c r="H1398" s="1026">
        <f t="shared" si="165"/>
        <v>0.26666666666666666</v>
      </c>
      <c r="I1398" s="1027">
        <f>+C1398+F1398</f>
        <v>35</v>
      </c>
      <c r="J1398" s="860">
        <f t="shared" si="166"/>
        <v>14</v>
      </c>
      <c r="K1398" s="1028">
        <f t="shared" si="167"/>
        <v>0.4</v>
      </c>
    </row>
    <row r="1399" spans="1:11" ht="24.95" customHeight="1">
      <c r="A1399" s="1023" t="s">
        <v>2620</v>
      </c>
      <c r="B1399" s="1024" t="s">
        <v>3879</v>
      </c>
      <c r="C1399" s="1025">
        <v>3</v>
      </c>
      <c r="D1399" s="1025"/>
      <c r="E1399" s="1026">
        <f t="shared" si="164"/>
        <v>0</v>
      </c>
      <c r="F1399" s="1025"/>
      <c r="G1399" s="1025"/>
      <c r="H1399" s="1026" t="e">
        <f t="shared" si="165"/>
        <v>#DIV/0!</v>
      </c>
      <c r="I1399" s="1027"/>
      <c r="J1399" s="860">
        <f t="shared" si="166"/>
        <v>0</v>
      </c>
      <c r="K1399" s="1028" t="e">
        <f t="shared" si="167"/>
        <v>#DIV/0!</v>
      </c>
    </row>
    <row r="1400" spans="1:11" ht="24.95" customHeight="1">
      <c r="A1400" s="1023" t="s">
        <v>2178</v>
      </c>
      <c r="B1400" s="1024" t="s">
        <v>2179</v>
      </c>
      <c r="C1400" s="1025">
        <v>15</v>
      </c>
      <c r="D1400" s="1025">
        <v>4</v>
      </c>
      <c r="E1400" s="1026">
        <f t="shared" si="164"/>
        <v>0.26666666666666666</v>
      </c>
      <c r="F1400" s="1025">
        <v>0</v>
      </c>
      <c r="G1400" s="1025">
        <v>0</v>
      </c>
      <c r="H1400" s="1026" t="e">
        <f t="shared" si="165"/>
        <v>#DIV/0!</v>
      </c>
      <c r="I1400" s="1027">
        <f>+C1400+F1400</f>
        <v>15</v>
      </c>
      <c r="J1400" s="860">
        <f t="shared" si="166"/>
        <v>4</v>
      </c>
      <c r="K1400" s="1028">
        <f t="shared" si="167"/>
        <v>0.26666666666666666</v>
      </c>
    </row>
    <row r="1401" spans="1:11" ht="24.95" customHeight="1">
      <c r="A1401" s="1023" t="s">
        <v>2971</v>
      </c>
      <c r="B1401" s="1024" t="s">
        <v>3207</v>
      </c>
      <c r="C1401" s="1025">
        <v>14</v>
      </c>
      <c r="D1401" s="1025">
        <v>78</v>
      </c>
      <c r="E1401" s="1026">
        <f t="shared" si="164"/>
        <v>5.5714285714285712</v>
      </c>
      <c r="F1401" s="1025"/>
      <c r="G1401" s="1025">
        <v>0</v>
      </c>
      <c r="H1401" s="1026" t="e">
        <f t="shared" si="165"/>
        <v>#DIV/0!</v>
      </c>
      <c r="I1401" s="1027">
        <f>+C1401+F1401</f>
        <v>14</v>
      </c>
      <c r="J1401" s="860">
        <f t="shared" si="166"/>
        <v>78</v>
      </c>
      <c r="K1401" s="1028">
        <f t="shared" si="167"/>
        <v>5.5714285714285712</v>
      </c>
    </row>
    <row r="1402" spans="1:11" ht="24.95" customHeight="1">
      <c r="A1402" s="1029"/>
      <c r="B1402" s="1024" t="s">
        <v>2</v>
      </c>
      <c r="C1402" s="1030">
        <f t="shared" ref="C1402:J1402" si="168">SUM(C1396:C1401)</f>
        <v>67</v>
      </c>
      <c r="D1402" s="1030">
        <f t="shared" si="168"/>
        <v>102</v>
      </c>
      <c r="E1402" s="1026">
        <f t="shared" si="164"/>
        <v>1.5223880597014925</v>
      </c>
      <c r="F1402" s="1030">
        <f t="shared" si="168"/>
        <v>37</v>
      </c>
      <c r="G1402" s="1030">
        <f t="shared" si="168"/>
        <v>10</v>
      </c>
      <c r="H1402" s="1026">
        <f t="shared" si="165"/>
        <v>0.27027027027027029</v>
      </c>
      <c r="I1402" s="1030">
        <f t="shared" si="168"/>
        <v>101</v>
      </c>
      <c r="J1402" s="1030">
        <f t="shared" si="168"/>
        <v>112</v>
      </c>
      <c r="K1402" s="1028">
        <f t="shared" si="167"/>
        <v>1.108910891089109</v>
      </c>
    </row>
    <row r="1403" spans="1:11" ht="24.95" customHeight="1">
      <c r="A1403" s="2123"/>
      <c r="B1403" s="2124"/>
      <c r="C1403" s="2124"/>
      <c r="D1403" s="2124"/>
      <c r="E1403" s="2124"/>
      <c r="F1403" s="2124"/>
      <c r="G1403" s="2124"/>
      <c r="H1403" s="2124"/>
      <c r="I1403" s="2124"/>
      <c r="J1403" s="2124"/>
      <c r="K1403" s="2125"/>
    </row>
    <row r="1404" spans="1:11" ht="24.95" customHeight="1">
      <c r="A1404" s="1031"/>
      <c r="B1404" s="1032" t="s">
        <v>1907</v>
      </c>
      <c r="C1404" s="2126"/>
      <c r="D1404" s="2127"/>
      <c r="E1404" s="2127"/>
      <c r="F1404" s="2127"/>
      <c r="G1404" s="2127"/>
      <c r="H1404" s="2127"/>
      <c r="I1404" s="2127"/>
      <c r="J1404" s="2127"/>
      <c r="K1404" s="2127"/>
    </row>
    <row r="1405" spans="1:11" ht="24.95" customHeight="1">
      <c r="A1405" s="1023" t="s">
        <v>2387</v>
      </c>
      <c r="B1405" s="1024" t="s">
        <v>2388</v>
      </c>
      <c r="C1405" s="1025">
        <v>480</v>
      </c>
      <c r="D1405" s="1025">
        <v>169</v>
      </c>
      <c r="E1405" s="1026">
        <f>+D1405/C1405</f>
        <v>0.35208333333333336</v>
      </c>
      <c r="F1405" s="1025">
        <v>0</v>
      </c>
      <c r="G1405" s="1025"/>
      <c r="H1405" s="1026" t="e">
        <f>+G1405/F1405</f>
        <v>#DIV/0!</v>
      </c>
      <c r="I1405" s="1027">
        <f>+C1405+F1405</f>
        <v>480</v>
      </c>
      <c r="J1405" s="860">
        <f>+D1405+G1405</f>
        <v>169</v>
      </c>
      <c r="K1405" s="1028">
        <f>+J1405/I1405</f>
        <v>0.35208333333333336</v>
      </c>
    </row>
    <row r="1406" spans="1:11" ht="24.95" customHeight="1">
      <c r="A1406" s="1023" t="s">
        <v>3880</v>
      </c>
      <c r="B1406" s="1024" t="s">
        <v>3881</v>
      </c>
      <c r="C1406" s="1025">
        <v>25</v>
      </c>
      <c r="D1406" s="1025"/>
      <c r="E1406" s="1026">
        <f t="shared" ref="E1406:E1410" si="169">+D1406/C1406</f>
        <v>0</v>
      </c>
      <c r="F1406" s="1025">
        <v>0</v>
      </c>
      <c r="G1406" s="1025"/>
      <c r="H1406" s="1026" t="e">
        <f t="shared" ref="H1406:H1410" si="170">+G1406/F1406</f>
        <v>#DIV/0!</v>
      </c>
      <c r="I1406" s="1027">
        <f>+C1406+F1406</f>
        <v>25</v>
      </c>
      <c r="J1406" s="860">
        <f t="shared" ref="J1406:J1410" si="171">+D1406+G1406</f>
        <v>0</v>
      </c>
      <c r="K1406" s="1028">
        <f t="shared" ref="K1406:K1410" si="172">+J1406/I1406</f>
        <v>0</v>
      </c>
    </row>
    <row r="1407" spans="1:11" ht="24.95" customHeight="1">
      <c r="A1407" s="1023" t="s">
        <v>3882</v>
      </c>
      <c r="B1407" s="1024" t="s">
        <v>3883</v>
      </c>
      <c r="C1407" s="1025">
        <v>45</v>
      </c>
      <c r="D1407" s="1025">
        <v>15</v>
      </c>
      <c r="E1407" s="1026">
        <f t="shared" si="169"/>
        <v>0.33333333333333331</v>
      </c>
      <c r="F1407" s="1025">
        <v>0</v>
      </c>
      <c r="G1407" s="1025"/>
      <c r="H1407" s="1026" t="e">
        <f t="shared" si="170"/>
        <v>#DIV/0!</v>
      </c>
      <c r="I1407" s="1027">
        <f>+C1407+F1407</f>
        <v>45</v>
      </c>
      <c r="J1407" s="860">
        <f t="shared" si="171"/>
        <v>15</v>
      </c>
      <c r="K1407" s="1028">
        <f t="shared" si="172"/>
        <v>0.33333333333333331</v>
      </c>
    </row>
    <row r="1408" spans="1:11" ht="24.95" customHeight="1">
      <c r="A1408" s="1023" t="s">
        <v>2181</v>
      </c>
      <c r="B1408" s="1024" t="s">
        <v>2182</v>
      </c>
      <c r="C1408" s="1025">
        <v>2200</v>
      </c>
      <c r="D1408" s="1025">
        <v>772</v>
      </c>
      <c r="E1408" s="1026">
        <f t="shared" si="169"/>
        <v>0.35090909090909089</v>
      </c>
      <c r="F1408" s="1025">
        <v>50</v>
      </c>
      <c r="G1408" s="1025">
        <v>18</v>
      </c>
      <c r="H1408" s="1026">
        <f t="shared" si="170"/>
        <v>0.36</v>
      </c>
      <c r="I1408" s="1027">
        <f>+C1408+F1408</f>
        <v>2250</v>
      </c>
      <c r="J1408" s="860">
        <f t="shared" si="171"/>
        <v>790</v>
      </c>
      <c r="K1408" s="1028">
        <f t="shared" si="172"/>
        <v>0.3511111111111111</v>
      </c>
    </row>
    <row r="1409" spans="1:11" ht="24.95" customHeight="1">
      <c r="A1409" s="1023" t="s">
        <v>3884</v>
      </c>
      <c r="B1409" s="1033" t="s">
        <v>3885</v>
      </c>
      <c r="C1409" s="1025">
        <v>100</v>
      </c>
      <c r="D1409" s="1025">
        <v>78</v>
      </c>
      <c r="E1409" s="1026">
        <f t="shared" si="169"/>
        <v>0.78</v>
      </c>
      <c r="F1409" s="1025">
        <v>200</v>
      </c>
      <c r="G1409" s="1025">
        <v>74</v>
      </c>
      <c r="H1409" s="1026">
        <f t="shared" si="170"/>
        <v>0.37</v>
      </c>
      <c r="I1409" s="1027">
        <f>+C1409+F1409</f>
        <v>300</v>
      </c>
      <c r="J1409" s="860">
        <f t="shared" si="171"/>
        <v>152</v>
      </c>
      <c r="K1409" s="1028">
        <f t="shared" si="172"/>
        <v>0.50666666666666671</v>
      </c>
    </row>
    <row r="1410" spans="1:11" ht="24.95" customHeight="1">
      <c r="A1410" s="1023"/>
      <c r="B1410" s="1024" t="s">
        <v>2</v>
      </c>
      <c r="C1410" s="1030">
        <f t="shared" ref="C1410:I1410" si="173">SUM(C1405:C1409)</f>
        <v>2850</v>
      </c>
      <c r="D1410" s="1030">
        <f t="shared" si="173"/>
        <v>1034</v>
      </c>
      <c r="E1410" s="1026">
        <f t="shared" si="169"/>
        <v>0.36280701754385963</v>
      </c>
      <c r="F1410" s="1030">
        <f t="shared" si="173"/>
        <v>250</v>
      </c>
      <c r="G1410" s="1030">
        <f t="shared" si="173"/>
        <v>92</v>
      </c>
      <c r="H1410" s="1026">
        <f t="shared" si="170"/>
        <v>0.36799999999999999</v>
      </c>
      <c r="I1410" s="1030">
        <f t="shared" si="173"/>
        <v>3100</v>
      </c>
      <c r="J1410" s="860">
        <f t="shared" si="171"/>
        <v>1126</v>
      </c>
      <c r="K1410" s="1028">
        <f t="shared" si="172"/>
        <v>0.3632258064516129</v>
      </c>
    </row>
    <row r="1411" spans="1:11" ht="24.95" customHeight="1">
      <c r="A1411" s="1023"/>
      <c r="B1411" s="1034" t="s">
        <v>1908</v>
      </c>
      <c r="C1411" s="2128"/>
      <c r="D1411" s="2129"/>
      <c r="E1411" s="2129"/>
      <c r="F1411" s="2129"/>
      <c r="G1411" s="2129"/>
      <c r="H1411" s="2129"/>
      <c r="I1411" s="2129"/>
      <c r="J1411" s="2129"/>
      <c r="K1411" s="2129"/>
    </row>
    <row r="1412" spans="1:11" ht="24.95" customHeight="1">
      <c r="A1412" s="1023" t="s">
        <v>3886</v>
      </c>
      <c r="B1412" s="1024" t="s">
        <v>3887</v>
      </c>
      <c r="C1412" s="1025">
        <v>23</v>
      </c>
      <c r="D1412" s="1025">
        <f>1+5</f>
        <v>6</v>
      </c>
      <c r="E1412" s="1026">
        <f>+D1412/C1412</f>
        <v>0.2608695652173913</v>
      </c>
      <c r="F1412" s="1025">
        <v>12</v>
      </c>
      <c r="G1412" s="1025">
        <v>4</v>
      </c>
      <c r="H1412" s="1026">
        <f>+G1412/F1412</f>
        <v>0.33333333333333331</v>
      </c>
      <c r="I1412" s="1027">
        <f t="shared" ref="I1412:J1427" si="174">+C1412+F1412</f>
        <v>35</v>
      </c>
      <c r="J1412" s="860">
        <f>+D1412+G1412</f>
        <v>10</v>
      </c>
      <c r="K1412" s="1028">
        <f>+J1412/I1412</f>
        <v>0.2857142857142857</v>
      </c>
    </row>
    <row r="1413" spans="1:11" ht="24.95" customHeight="1">
      <c r="A1413" s="1029" t="s">
        <v>3888</v>
      </c>
      <c r="B1413" s="1033" t="s">
        <v>3889</v>
      </c>
      <c r="C1413" s="1025">
        <v>30</v>
      </c>
      <c r="D1413" s="1025">
        <v>17</v>
      </c>
      <c r="E1413" s="1026">
        <f t="shared" ref="E1413:E1428" si="175">+D1413/C1413</f>
        <v>0.56666666666666665</v>
      </c>
      <c r="F1413" s="1025">
        <v>30</v>
      </c>
      <c r="G1413" s="1025">
        <v>18</v>
      </c>
      <c r="H1413" s="1026">
        <f t="shared" ref="H1413:H1428" si="176">+G1413/F1413</f>
        <v>0.6</v>
      </c>
      <c r="I1413" s="1027">
        <f t="shared" si="174"/>
        <v>60</v>
      </c>
      <c r="J1413" s="860">
        <f t="shared" si="174"/>
        <v>35</v>
      </c>
      <c r="K1413" s="1028">
        <f t="shared" ref="K1413:K1428" si="177">+J1413/I1413</f>
        <v>0.58333333333333337</v>
      </c>
    </row>
    <row r="1414" spans="1:11" ht="24.95" customHeight="1">
      <c r="A1414" s="1023" t="s">
        <v>3890</v>
      </c>
      <c r="B1414" s="1024" t="s">
        <v>3891</v>
      </c>
      <c r="C1414" s="1025">
        <v>800</v>
      </c>
      <c r="D1414" s="1025">
        <v>260</v>
      </c>
      <c r="E1414" s="1026">
        <f t="shared" si="175"/>
        <v>0.32500000000000001</v>
      </c>
      <c r="F1414" s="1025">
        <v>260</v>
      </c>
      <c r="G1414" s="1025">
        <v>98</v>
      </c>
      <c r="H1414" s="1026">
        <f t="shared" si="176"/>
        <v>0.37692307692307692</v>
      </c>
      <c r="I1414" s="1027">
        <f t="shared" si="174"/>
        <v>1060</v>
      </c>
      <c r="J1414" s="860">
        <f t="shared" si="174"/>
        <v>358</v>
      </c>
      <c r="K1414" s="1028">
        <f t="shared" si="177"/>
        <v>0.33773584905660375</v>
      </c>
    </row>
    <row r="1415" spans="1:11" ht="24.95" customHeight="1">
      <c r="A1415" s="1023" t="s">
        <v>3892</v>
      </c>
      <c r="B1415" s="1024" t="s">
        <v>3893</v>
      </c>
      <c r="C1415" s="1025"/>
      <c r="D1415" s="1025"/>
      <c r="E1415" s="1026" t="e">
        <f t="shared" si="175"/>
        <v>#DIV/0!</v>
      </c>
      <c r="F1415" s="1025"/>
      <c r="G1415" s="1025"/>
      <c r="H1415" s="1026" t="e">
        <f t="shared" si="176"/>
        <v>#DIV/0!</v>
      </c>
      <c r="I1415" s="1027">
        <f t="shared" si="174"/>
        <v>0</v>
      </c>
      <c r="J1415" s="860">
        <f t="shared" si="174"/>
        <v>0</v>
      </c>
      <c r="K1415" s="1028" t="e">
        <f t="shared" si="177"/>
        <v>#DIV/0!</v>
      </c>
    </row>
    <row r="1416" spans="1:11" ht="24.95" customHeight="1">
      <c r="A1416" s="1023" t="s">
        <v>3894</v>
      </c>
      <c r="B1416" s="1024" t="s">
        <v>3895</v>
      </c>
      <c r="C1416" s="1025">
        <v>1</v>
      </c>
      <c r="D1416" s="1025">
        <v>2</v>
      </c>
      <c r="E1416" s="1026">
        <f t="shared" si="175"/>
        <v>2</v>
      </c>
      <c r="F1416" s="1025">
        <v>1</v>
      </c>
      <c r="G1416" s="1025">
        <v>0</v>
      </c>
      <c r="H1416" s="1026">
        <f t="shared" si="176"/>
        <v>0</v>
      </c>
      <c r="I1416" s="1027">
        <f t="shared" si="174"/>
        <v>2</v>
      </c>
      <c r="J1416" s="860">
        <f t="shared" si="174"/>
        <v>2</v>
      </c>
      <c r="K1416" s="1028">
        <f t="shared" si="177"/>
        <v>1</v>
      </c>
    </row>
    <row r="1417" spans="1:11" ht="24.95" customHeight="1">
      <c r="A1417" s="1029" t="s">
        <v>3896</v>
      </c>
      <c r="B1417" s="1033" t="s">
        <v>3897</v>
      </c>
      <c r="C1417" s="1025">
        <v>2</v>
      </c>
      <c r="D1417" s="1025">
        <v>1</v>
      </c>
      <c r="E1417" s="1026">
        <f t="shared" si="175"/>
        <v>0.5</v>
      </c>
      <c r="F1417" s="1025">
        <v>28</v>
      </c>
      <c r="G1417" s="1025">
        <v>5</v>
      </c>
      <c r="H1417" s="1026">
        <f t="shared" si="176"/>
        <v>0.17857142857142858</v>
      </c>
      <c r="I1417" s="1027">
        <f t="shared" si="174"/>
        <v>30</v>
      </c>
      <c r="J1417" s="860">
        <f t="shared" si="174"/>
        <v>6</v>
      </c>
      <c r="K1417" s="1028">
        <f t="shared" si="177"/>
        <v>0.2</v>
      </c>
    </row>
    <row r="1418" spans="1:11" ht="24.95" customHeight="1">
      <c r="A1418" s="1023" t="s">
        <v>3898</v>
      </c>
      <c r="B1418" s="1024" t="s">
        <v>3899</v>
      </c>
      <c r="C1418" s="1025">
        <v>0</v>
      </c>
      <c r="D1418" s="1025"/>
      <c r="E1418" s="1026" t="e">
        <f t="shared" si="175"/>
        <v>#DIV/0!</v>
      </c>
      <c r="F1418" s="1025">
        <v>0</v>
      </c>
      <c r="G1418" s="1025"/>
      <c r="H1418" s="1026" t="e">
        <f t="shared" si="176"/>
        <v>#DIV/0!</v>
      </c>
      <c r="I1418" s="1027">
        <f t="shared" si="174"/>
        <v>0</v>
      </c>
      <c r="J1418" s="860">
        <f t="shared" si="174"/>
        <v>0</v>
      </c>
      <c r="K1418" s="1028" t="e">
        <f t="shared" si="177"/>
        <v>#DIV/0!</v>
      </c>
    </row>
    <row r="1419" spans="1:11" ht="24.95" customHeight="1">
      <c r="A1419" s="1023" t="s">
        <v>3900</v>
      </c>
      <c r="B1419" s="1024" t="s">
        <v>3901</v>
      </c>
      <c r="C1419" s="1025">
        <v>0</v>
      </c>
      <c r="D1419" s="1025"/>
      <c r="E1419" s="1026" t="e">
        <f t="shared" si="175"/>
        <v>#DIV/0!</v>
      </c>
      <c r="F1419" s="1025">
        <v>0</v>
      </c>
      <c r="G1419" s="1025"/>
      <c r="H1419" s="1026" t="e">
        <f t="shared" si="176"/>
        <v>#DIV/0!</v>
      </c>
      <c r="I1419" s="1027">
        <f t="shared" si="174"/>
        <v>0</v>
      </c>
      <c r="J1419" s="860">
        <f t="shared" si="174"/>
        <v>0</v>
      </c>
      <c r="K1419" s="1028" t="e">
        <f t="shared" si="177"/>
        <v>#DIV/0!</v>
      </c>
    </row>
    <row r="1420" spans="1:11" ht="24.95" customHeight="1">
      <c r="A1420" s="1023" t="s">
        <v>3902</v>
      </c>
      <c r="B1420" s="1024" t="s">
        <v>3903</v>
      </c>
      <c r="C1420" s="1025">
        <v>95</v>
      </c>
      <c r="D1420" s="1025">
        <v>42</v>
      </c>
      <c r="E1420" s="1026">
        <f t="shared" si="175"/>
        <v>0.44210526315789472</v>
      </c>
      <c r="F1420" s="1025">
        <v>40</v>
      </c>
      <c r="G1420" s="1025">
        <v>22</v>
      </c>
      <c r="H1420" s="1026">
        <f t="shared" si="176"/>
        <v>0.55000000000000004</v>
      </c>
      <c r="I1420" s="1027">
        <f t="shared" si="174"/>
        <v>135</v>
      </c>
      <c r="J1420" s="860">
        <f t="shared" si="174"/>
        <v>64</v>
      </c>
      <c r="K1420" s="1028">
        <f t="shared" si="177"/>
        <v>0.47407407407407409</v>
      </c>
    </row>
    <row r="1421" spans="1:11" ht="24.95" customHeight="1">
      <c r="A1421" s="1023" t="s">
        <v>3904</v>
      </c>
      <c r="B1421" s="1024" t="s">
        <v>3905</v>
      </c>
      <c r="C1421" s="1025">
        <v>30</v>
      </c>
      <c r="D1421" s="1025">
        <v>12</v>
      </c>
      <c r="E1421" s="1026">
        <f t="shared" si="175"/>
        <v>0.4</v>
      </c>
      <c r="F1421" s="1025">
        <v>20</v>
      </c>
      <c r="G1421" s="1025">
        <v>6</v>
      </c>
      <c r="H1421" s="1026">
        <f t="shared" si="176"/>
        <v>0.3</v>
      </c>
      <c r="I1421" s="1027">
        <f t="shared" si="174"/>
        <v>50</v>
      </c>
      <c r="J1421" s="860">
        <f t="shared" si="174"/>
        <v>18</v>
      </c>
      <c r="K1421" s="1028">
        <f t="shared" si="177"/>
        <v>0.36</v>
      </c>
    </row>
    <row r="1422" spans="1:11" ht="24.95" customHeight="1">
      <c r="A1422" s="1023" t="s">
        <v>3906</v>
      </c>
      <c r="B1422" s="1024" t="s">
        <v>3907</v>
      </c>
      <c r="C1422" s="1025">
        <v>5</v>
      </c>
      <c r="D1422" s="1025">
        <v>6</v>
      </c>
      <c r="E1422" s="1026">
        <f t="shared" si="175"/>
        <v>1.2</v>
      </c>
      <c r="F1422" s="1025">
        <v>0</v>
      </c>
      <c r="G1422" s="1025">
        <v>0</v>
      </c>
      <c r="H1422" s="1026" t="e">
        <f t="shared" si="176"/>
        <v>#DIV/0!</v>
      </c>
      <c r="I1422" s="1027">
        <f t="shared" si="174"/>
        <v>5</v>
      </c>
      <c r="J1422" s="860">
        <f t="shared" si="174"/>
        <v>6</v>
      </c>
      <c r="K1422" s="1028">
        <f t="shared" si="177"/>
        <v>1.2</v>
      </c>
    </row>
    <row r="1423" spans="1:11" ht="24.95" customHeight="1">
      <c r="A1423" s="1023" t="s">
        <v>3908</v>
      </c>
      <c r="B1423" s="1024" t="s">
        <v>3909</v>
      </c>
      <c r="C1423" s="1025">
        <v>180</v>
      </c>
      <c r="D1423" s="1025">
        <v>75</v>
      </c>
      <c r="E1423" s="1026">
        <f t="shared" si="175"/>
        <v>0.41666666666666669</v>
      </c>
      <c r="F1423" s="1025">
        <v>25</v>
      </c>
      <c r="G1423" s="1025">
        <v>10</v>
      </c>
      <c r="H1423" s="1026">
        <f t="shared" si="176"/>
        <v>0.4</v>
      </c>
      <c r="I1423" s="1027">
        <f t="shared" si="174"/>
        <v>205</v>
      </c>
      <c r="J1423" s="860">
        <f t="shared" si="174"/>
        <v>85</v>
      </c>
      <c r="K1423" s="1028">
        <f t="shared" si="177"/>
        <v>0.41463414634146339</v>
      </c>
    </row>
    <row r="1424" spans="1:11" ht="24.95" customHeight="1">
      <c r="A1424" s="1023" t="s">
        <v>3910</v>
      </c>
      <c r="B1424" s="1024" t="s">
        <v>3911</v>
      </c>
      <c r="C1424" s="1025">
        <v>70</v>
      </c>
      <c r="D1424" s="1025">
        <v>32</v>
      </c>
      <c r="E1424" s="1026">
        <f t="shared" si="175"/>
        <v>0.45714285714285713</v>
      </c>
      <c r="F1424" s="1025">
        <v>15</v>
      </c>
      <c r="G1424" s="1025">
        <v>5</v>
      </c>
      <c r="H1424" s="1026">
        <f t="shared" si="176"/>
        <v>0.33333333333333331</v>
      </c>
      <c r="I1424" s="1027">
        <f t="shared" si="174"/>
        <v>85</v>
      </c>
      <c r="J1424" s="860">
        <f t="shared" si="174"/>
        <v>37</v>
      </c>
      <c r="K1424" s="1028">
        <f t="shared" si="177"/>
        <v>0.43529411764705883</v>
      </c>
    </row>
    <row r="1425" spans="1:11" ht="24.95" customHeight="1">
      <c r="A1425" s="1023" t="s">
        <v>3912</v>
      </c>
      <c r="B1425" s="1024" t="s">
        <v>3913</v>
      </c>
      <c r="C1425" s="1025">
        <v>25</v>
      </c>
      <c r="D1425" s="1025">
        <v>4</v>
      </c>
      <c r="E1425" s="1026">
        <f t="shared" si="175"/>
        <v>0.16</v>
      </c>
      <c r="F1425" s="1025">
        <v>1</v>
      </c>
      <c r="G1425" s="1025">
        <v>1</v>
      </c>
      <c r="H1425" s="1026">
        <f t="shared" si="176"/>
        <v>1</v>
      </c>
      <c r="I1425" s="1027">
        <f t="shared" si="174"/>
        <v>26</v>
      </c>
      <c r="J1425" s="860">
        <f t="shared" si="174"/>
        <v>5</v>
      </c>
      <c r="K1425" s="1028">
        <f t="shared" si="177"/>
        <v>0.19230769230769232</v>
      </c>
    </row>
    <row r="1426" spans="1:11" ht="24.95" customHeight="1">
      <c r="A1426" s="1023" t="s">
        <v>3914</v>
      </c>
      <c r="B1426" s="1024" t="s">
        <v>3915</v>
      </c>
      <c r="C1426" s="1025">
        <v>450</v>
      </c>
      <c r="D1426" s="1025">
        <v>211</v>
      </c>
      <c r="E1426" s="1026">
        <f t="shared" si="175"/>
        <v>0.46888888888888891</v>
      </c>
      <c r="F1426" s="1025">
        <v>10</v>
      </c>
      <c r="G1426" s="1025">
        <v>3</v>
      </c>
      <c r="H1426" s="1026">
        <f t="shared" si="176"/>
        <v>0.3</v>
      </c>
      <c r="I1426" s="1027">
        <f t="shared" si="174"/>
        <v>460</v>
      </c>
      <c r="J1426" s="860">
        <f t="shared" si="174"/>
        <v>214</v>
      </c>
      <c r="K1426" s="1028">
        <f t="shared" si="177"/>
        <v>0.4652173913043478</v>
      </c>
    </row>
    <row r="1427" spans="1:11" ht="24.95" customHeight="1">
      <c r="A1427" s="1023" t="s">
        <v>3853</v>
      </c>
      <c r="B1427" s="1035" t="s">
        <v>2950</v>
      </c>
      <c r="C1427" s="1025">
        <v>800</v>
      </c>
      <c r="D1427" s="1025">
        <v>260</v>
      </c>
      <c r="E1427" s="1026">
        <f t="shared" si="175"/>
        <v>0.32500000000000001</v>
      </c>
      <c r="F1427" s="1025">
        <v>300</v>
      </c>
      <c r="G1427" s="1025">
        <v>98</v>
      </c>
      <c r="H1427" s="1026">
        <f t="shared" si="176"/>
        <v>0.32666666666666666</v>
      </c>
      <c r="I1427" s="1027">
        <f t="shared" si="174"/>
        <v>1100</v>
      </c>
      <c r="J1427" s="860">
        <f t="shared" si="174"/>
        <v>358</v>
      </c>
      <c r="K1427" s="1028">
        <f t="shared" si="177"/>
        <v>0.32545454545454544</v>
      </c>
    </row>
    <row r="1428" spans="1:11" ht="24.95" customHeight="1">
      <c r="A1428" s="1023"/>
      <c r="B1428" s="1024" t="s">
        <v>2</v>
      </c>
      <c r="C1428" s="1025">
        <f t="shared" ref="C1428:G1428" si="178">SUM(C1412:C1427)</f>
        <v>2511</v>
      </c>
      <c r="D1428" s="1025">
        <f t="shared" si="178"/>
        <v>928</v>
      </c>
      <c r="E1428" s="1026">
        <f t="shared" si="175"/>
        <v>0.36957387495021904</v>
      </c>
      <c r="F1428" s="1025">
        <f t="shared" si="178"/>
        <v>742</v>
      </c>
      <c r="G1428" s="1025">
        <f t="shared" si="178"/>
        <v>270</v>
      </c>
      <c r="H1428" s="1026">
        <f t="shared" si="176"/>
        <v>0.36388140161725069</v>
      </c>
      <c r="I1428" s="1025">
        <f>SUM(I1412:I1427)</f>
        <v>3253</v>
      </c>
      <c r="J1428" s="1025">
        <f>SUM(J1412:J1427)</f>
        <v>1198</v>
      </c>
      <c r="K1428" s="1028">
        <f t="shared" si="177"/>
        <v>0.368275438057178</v>
      </c>
    </row>
    <row r="1429" spans="1:11" ht="24.95" customHeight="1">
      <c r="A1429" s="1023"/>
      <c r="B1429" s="1024" t="s">
        <v>3916</v>
      </c>
      <c r="C1429" s="2098"/>
      <c r="D1429" s="2099"/>
      <c r="E1429" s="2099"/>
      <c r="F1429" s="2099"/>
      <c r="G1429" s="2099"/>
      <c r="H1429" s="2099"/>
      <c r="I1429" s="2099"/>
      <c r="J1429" s="2099"/>
      <c r="K1429" s="2100"/>
    </row>
    <row r="1430" spans="1:11" ht="24.95" customHeight="1">
      <c r="A1430" s="1036" t="s">
        <v>150</v>
      </c>
      <c r="B1430" s="1037" t="s">
        <v>151</v>
      </c>
      <c r="C1430" s="1038"/>
      <c r="D1430" s="1038"/>
      <c r="E1430" s="1039"/>
      <c r="F1430" s="1040"/>
      <c r="G1430" s="1040"/>
      <c r="H1430" s="1041"/>
      <c r="I1430" s="1040"/>
      <c r="J1430" s="770"/>
      <c r="K1430" s="1028"/>
    </row>
    <row r="1431" spans="1:11" ht="24.95" customHeight="1">
      <c r="A1431" s="1036" t="s">
        <v>152</v>
      </c>
      <c r="B1431" s="1037" t="s">
        <v>153</v>
      </c>
      <c r="C1431" s="1042"/>
      <c r="D1431" s="1042"/>
      <c r="E1431" s="1043"/>
      <c r="F1431" s="1027"/>
      <c r="G1431" s="1027"/>
      <c r="H1431" s="1044"/>
      <c r="I1431" s="1027"/>
      <c r="J1431" s="770"/>
      <c r="K1431" s="1028"/>
    </row>
    <row r="1432" spans="1:11" ht="24.95" customHeight="1">
      <c r="A1432" s="1036" t="s">
        <v>154</v>
      </c>
      <c r="B1432" s="1037" t="s">
        <v>175</v>
      </c>
      <c r="C1432" s="1042"/>
      <c r="D1432" s="1042"/>
      <c r="E1432" s="1043"/>
      <c r="F1432" s="1027"/>
      <c r="G1432" s="1027"/>
      <c r="H1432" s="1044"/>
      <c r="I1432" s="1027"/>
      <c r="J1432" s="770"/>
      <c r="K1432" s="1028"/>
    </row>
    <row r="1433" spans="1:11" ht="24.95" customHeight="1">
      <c r="A1433" s="1036" t="s">
        <v>155</v>
      </c>
      <c r="B1433" s="1037" t="s">
        <v>156</v>
      </c>
      <c r="C1433" s="1042"/>
      <c r="D1433" s="1042"/>
      <c r="E1433" s="1043"/>
      <c r="F1433" s="1027"/>
      <c r="G1433" s="1027"/>
      <c r="H1433" s="1044"/>
      <c r="I1433" s="1027"/>
      <c r="J1433" s="770"/>
      <c r="K1433" s="1028"/>
    </row>
    <row r="1434" spans="1:11" ht="24.95" customHeight="1">
      <c r="A1434" s="1036" t="s">
        <v>157</v>
      </c>
      <c r="B1434" s="1037" t="s">
        <v>158</v>
      </c>
      <c r="C1434" s="1042"/>
      <c r="D1434" s="1042"/>
      <c r="E1434" s="1043"/>
      <c r="F1434" s="1027"/>
      <c r="G1434" s="1027"/>
      <c r="H1434" s="1044"/>
      <c r="I1434" s="1027"/>
      <c r="J1434" s="770"/>
      <c r="K1434" s="1028"/>
    </row>
    <row r="1435" spans="1:11" ht="24.95" customHeight="1">
      <c r="A1435" s="1036" t="s">
        <v>160</v>
      </c>
      <c r="B1435" s="1037" t="s">
        <v>161</v>
      </c>
      <c r="C1435" s="1042"/>
      <c r="D1435" s="1042"/>
      <c r="E1435" s="1043"/>
      <c r="F1435" s="1027"/>
      <c r="G1435" s="1027"/>
      <c r="H1435" s="1044"/>
      <c r="I1435" s="1027"/>
      <c r="J1435" s="770"/>
      <c r="K1435" s="1028"/>
    </row>
    <row r="1436" spans="1:11" ht="24.95" customHeight="1">
      <c r="A1436" s="1036" t="s">
        <v>163</v>
      </c>
      <c r="B1436" s="1037" t="s">
        <v>164</v>
      </c>
      <c r="C1436" s="1042"/>
      <c r="D1436" s="1042"/>
      <c r="E1436" s="1043"/>
      <c r="F1436" s="1027"/>
      <c r="G1436" s="1027"/>
      <c r="H1436" s="1044"/>
      <c r="I1436" s="1027"/>
      <c r="J1436" s="770"/>
      <c r="K1436" s="1028"/>
    </row>
    <row r="1437" spans="1:11" ht="24.95" customHeight="1">
      <c r="A1437" s="1036" t="s">
        <v>165</v>
      </c>
      <c r="B1437" s="1037" t="s">
        <v>166</v>
      </c>
      <c r="C1437" s="1042"/>
      <c r="D1437" s="1042"/>
      <c r="E1437" s="1043"/>
      <c r="F1437" s="1027"/>
      <c r="G1437" s="1027"/>
      <c r="H1437" s="1044"/>
      <c r="I1437" s="1027"/>
      <c r="J1437" s="770"/>
      <c r="K1437" s="1028"/>
    </row>
    <row r="1438" spans="1:11" ht="24.95" customHeight="1">
      <c r="A1438" s="1036" t="s">
        <v>167</v>
      </c>
      <c r="B1438" s="1037" t="s">
        <v>168</v>
      </c>
      <c r="C1438" s="1042"/>
      <c r="D1438" s="1042"/>
      <c r="E1438" s="1043"/>
      <c r="F1438" s="1027"/>
      <c r="G1438" s="1027"/>
      <c r="H1438" s="1044"/>
      <c r="I1438" s="1027"/>
      <c r="J1438" s="770"/>
      <c r="K1438" s="1028"/>
    </row>
    <row r="1439" spans="1:11" ht="24.95" customHeight="1">
      <c r="A1439" s="1036" t="s">
        <v>169</v>
      </c>
      <c r="B1439" s="1037" t="s">
        <v>170</v>
      </c>
      <c r="C1439" s="1042"/>
      <c r="D1439" s="1042"/>
      <c r="E1439" s="1043"/>
      <c r="F1439" s="1027"/>
      <c r="G1439" s="1027"/>
      <c r="H1439" s="1044"/>
      <c r="I1439" s="1027"/>
      <c r="J1439" s="770"/>
      <c r="K1439" s="1028"/>
    </row>
    <row r="1440" spans="1:11" ht="24.95" customHeight="1">
      <c r="A1440" s="1023" t="s">
        <v>159</v>
      </c>
      <c r="B1440" s="1024" t="s">
        <v>3917</v>
      </c>
      <c r="C1440" s="1025">
        <v>500</v>
      </c>
      <c r="D1440" s="1025">
        <v>1</v>
      </c>
      <c r="E1440" s="1026">
        <f>+D1440/C1440</f>
        <v>2E-3</v>
      </c>
      <c r="F1440" s="1025"/>
      <c r="G1440" s="1025"/>
      <c r="H1440" s="1026"/>
      <c r="I1440" s="1027">
        <f>+C1440+F1440</f>
        <v>500</v>
      </c>
      <c r="J1440" s="860">
        <f>+D1440+G1440</f>
        <v>1</v>
      </c>
      <c r="K1440" s="1028">
        <f>+J1440/I1440</f>
        <v>2E-3</v>
      </c>
    </row>
    <row r="1441" spans="1:11" ht="24.95" customHeight="1">
      <c r="A1441" s="1023" t="s">
        <v>162</v>
      </c>
      <c r="B1441" s="1024" t="s">
        <v>3918</v>
      </c>
      <c r="C1441" s="1025">
        <v>180</v>
      </c>
      <c r="D1441" s="1025"/>
      <c r="E1441" s="1026">
        <f t="shared" ref="E1441:E1442" si="179">+D1441/C1441</f>
        <v>0</v>
      </c>
      <c r="F1441" s="1025"/>
      <c r="G1441" s="1025"/>
      <c r="H1441" s="1026"/>
      <c r="I1441" s="1027">
        <f>+C1441+F1441</f>
        <v>180</v>
      </c>
      <c r="J1441" s="860">
        <f t="shared" ref="J1441" si="180">+D1441+G1441</f>
        <v>0</v>
      </c>
      <c r="K1441" s="1028">
        <f t="shared" ref="K1441:K1442" si="181">+J1441/I1441</f>
        <v>0</v>
      </c>
    </row>
    <row r="1442" spans="1:11" ht="24.95" customHeight="1">
      <c r="A1442" s="1023"/>
      <c r="B1442" s="1024" t="s">
        <v>2</v>
      </c>
      <c r="C1442" s="1030">
        <f t="shared" ref="C1442:J1442" si="182">SUM(C1430:C1441)</f>
        <v>680</v>
      </c>
      <c r="D1442" s="1030">
        <f t="shared" si="182"/>
        <v>1</v>
      </c>
      <c r="E1442" s="1026">
        <f t="shared" si="179"/>
        <v>1.4705882352941176E-3</v>
      </c>
      <c r="F1442" s="1030">
        <f t="shared" si="182"/>
        <v>0</v>
      </c>
      <c r="G1442" s="1030"/>
      <c r="H1442" s="1045"/>
      <c r="I1442" s="1030">
        <f t="shared" si="182"/>
        <v>680</v>
      </c>
      <c r="J1442" s="1030">
        <f t="shared" si="182"/>
        <v>1</v>
      </c>
      <c r="K1442" s="1028">
        <f t="shared" si="181"/>
        <v>1.4705882352941176E-3</v>
      </c>
    </row>
    <row r="1443" spans="1:11" ht="24.95" customHeight="1">
      <c r="A1443" s="2112" t="s">
        <v>3919</v>
      </c>
      <c r="B1443" s="2113"/>
      <c r="C1443" s="2113"/>
      <c r="D1443" s="2113"/>
      <c r="E1443" s="2113"/>
      <c r="F1443" s="2113"/>
      <c r="G1443" s="2113"/>
      <c r="H1443" s="2113"/>
      <c r="I1443" s="2113"/>
      <c r="J1443" s="2113"/>
      <c r="K1443" s="2113"/>
    </row>
    <row r="1444" spans="1:11" ht="24.95" customHeight="1">
      <c r="A1444" s="2114" t="s">
        <v>3920</v>
      </c>
      <c r="B1444" s="2114"/>
      <c r="C1444" s="2114"/>
      <c r="D1444" s="2114"/>
      <c r="E1444" s="2114"/>
      <c r="F1444" s="2114"/>
      <c r="G1444" s="2114"/>
      <c r="H1444" s="2114"/>
      <c r="I1444" s="2114"/>
      <c r="J1444" s="2114"/>
      <c r="K1444" s="2114"/>
    </row>
    <row r="1445" spans="1:11" ht="24.95" customHeight="1">
      <c r="A1445" s="1023"/>
      <c r="B1445" s="1034" t="s">
        <v>1909</v>
      </c>
      <c r="C1445" s="2115"/>
      <c r="D1445" s="2116"/>
      <c r="E1445" s="2116"/>
      <c r="F1445" s="2116"/>
      <c r="G1445" s="2116"/>
      <c r="H1445" s="2116"/>
      <c r="I1445" s="2116"/>
      <c r="J1445" s="2116"/>
      <c r="K1445" s="2116"/>
    </row>
    <row r="1446" spans="1:11" ht="24.95" customHeight="1">
      <c r="A1446" s="1023" t="s">
        <v>2387</v>
      </c>
      <c r="B1446" s="1024" t="s">
        <v>2388</v>
      </c>
      <c r="C1446" s="1025">
        <v>360</v>
      </c>
      <c r="D1446" s="1025">
        <v>236</v>
      </c>
      <c r="E1446" s="1026">
        <f>+D1446/C1446</f>
        <v>0.65555555555555556</v>
      </c>
      <c r="F1446" s="1025">
        <v>0</v>
      </c>
      <c r="G1446" s="1025"/>
      <c r="H1446" s="1026" t="e">
        <f>+G1446/F1446</f>
        <v>#DIV/0!</v>
      </c>
      <c r="I1446" s="1027">
        <f>+C1446+F1446</f>
        <v>360</v>
      </c>
      <c r="J1446" s="860">
        <f>+D1446+G1446</f>
        <v>236</v>
      </c>
      <c r="K1446" s="1028">
        <f>+J1446/I1446</f>
        <v>0.65555555555555556</v>
      </c>
    </row>
    <row r="1447" spans="1:11" ht="24.95" customHeight="1">
      <c r="A1447" s="1023" t="s">
        <v>3839</v>
      </c>
      <c r="B1447" s="1024" t="s">
        <v>3840</v>
      </c>
      <c r="C1447" s="1025">
        <v>0</v>
      </c>
      <c r="D1447" s="1025">
        <v>0</v>
      </c>
      <c r="E1447" s="1026" t="e">
        <f t="shared" ref="E1447:E1449" si="183">+D1447/C1447</f>
        <v>#DIV/0!</v>
      </c>
      <c r="F1447" s="1025">
        <v>10</v>
      </c>
      <c r="G1447" s="1025">
        <v>0</v>
      </c>
      <c r="H1447" s="1026">
        <f t="shared" ref="H1447:H1449" si="184">+G1447/F1447</f>
        <v>0</v>
      </c>
      <c r="I1447" s="1027">
        <f>+C1447+F1447</f>
        <v>10</v>
      </c>
      <c r="J1447" s="860">
        <f t="shared" ref="J1447:J1448" si="185">+D1447+G1447</f>
        <v>0</v>
      </c>
      <c r="K1447" s="1028">
        <f t="shared" ref="K1447:K1449" si="186">+J1447/I1447</f>
        <v>0</v>
      </c>
    </row>
    <row r="1448" spans="1:11" ht="24.95" customHeight="1">
      <c r="A1448" s="1023" t="s">
        <v>3841</v>
      </c>
      <c r="B1448" s="1024" t="s">
        <v>3842</v>
      </c>
      <c r="C1448" s="1025">
        <v>2</v>
      </c>
      <c r="D1448" s="1025">
        <v>0</v>
      </c>
      <c r="E1448" s="1026">
        <f t="shared" si="183"/>
        <v>0</v>
      </c>
      <c r="F1448" s="1025">
        <v>30</v>
      </c>
      <c r="G1448" s="1025">
        <v>19</v>
      </c>
      <c r="H1448" s="1026">
        <f t="shared" si="184"/>
        <v>0.6333333333333333</v>
      </c>
      <c r="I1448" s="1027">
        <f>+C1448+F1448</f>
        <v>32</v>
      </c>
      <c r="J1448" s="860">
        <f t="shared" si="185"/>
        <v>19</v>
      </c>
      <c r="K1448" s="1028">
        <f t="shared" si="186"/>
        <v>0.59375</v>
      </c>
    </row>
    <row r="1449" spans="1:11" ht="24.95" customHeight="1">
      <c r="A1449" s="1023"/>
      <c r="B1449" s="1024" t="s">
        <v>2</v>
      </c>
      <c r="C1449" s="1030">
        <f t="shared" ref="C1449:J1449" si="187">SUM(C1446:C1448)</f>
        <v>362</v>
      </c>
      <c r="D1449" s="1030">
        <f t="shared" si="187"/>
        <v>236</v>
      </c>
      <c r="E1449" s="1026">
        <f t="shared" si="183"/>
        <v>0.65193370165745856</v>
      </c>
      <c r="F1449" s="1030">
        <f t="shared" si="187"/>
        <v>40</v>
      </c>
      <c r="G1449" s="1030">
        <f t="shared" si="187"/>
        <v>19</v>
      </c>
      <c r="H1449" s="1026">
        <f t="shared" si="184"/>
        <v>0.47499999999999998</v>
      </c>
      <c r="I1449" s="1030">
        <f t="shared" si="187"/>
        <v>402</v>
      </c>
      <c r="J1449" s="1030">
        <f t="shared" si="187"/>
        <v>255</v>
      </c>
      <c r="K1449" s="1028">
        <f t="shared" si="186"/>
        <v>0.63432835820895528</v>
      </c>
    </row>
    <row r="1450" spans="1:11" ht="24.95" customHeight="1">
      <c r="A1450" s="2117"/>
      <c r="B1450" s="2118"/>
      <c r="C1450" s="2118"/>
      <c r="D1450" s="2118"/>
      <c r="E1450" s="2118"/>
      <c r="F1450" s="2118"/>
      <c r="G1450" s="2118"/>
      <c r="H1450" s="2118"/>
      <c r="I1450" s="2118"/>
      <c r="J1450" s="2118"/>
      <c r="K1450" s="2118"/>
    </row>
    <row r="1451" spans="1:11" ht="24.95" customHeight="1">
      <c r="A1451" s="1023"/>
      <c r="B1451" s="1034" t="s">
        <v>1910</v>
      </c>
      <c r="C1451" s="2119"/>
      <c r="D1451" s="2120"/>
      <c r="E1451" s="2120"/>
      <c r="F1451" s="2120"/>
      <c r="G1451" s="2120"/>
      <c r="H1451" s="2120"/>
      <c r="I1451" s="2120"/>
      <c r="J1451" s="2120"/>
      <c r="K1451" s="2120"/>
    </row>
    <row r="1452" spans="1:11" ht="24.95" customHeight="1">
      <c r="A1452" s="1023" t="s">
        <v>2387</v>
      </c>
      <c r="B1452" s="1024" t="s">
        <v>2388</v>
      </c>
      <c r="C1452" s="1025">
        <v>10</v>
      </c>
      <c r="D1452" s="1025">
        <v>8</v>
      </c>
      <c r="E1452" s="1026">
        <f>+D1452/C1452</f>
        <v>0.8</v>
      </c>
      <c r="F1452" s="1025">
        <v>0</v>
      </c>
      <c r="G1452" s="1025">
        <v>0</v>
      </c>
      <c r="H1452" s="1026" t="e">
        <f>+G1452/F1452</f>
        <v>#DIV/0!</v>
      </c>
      <c r="I1452" s="1027">
        <f>+C1452+F1452</f>
        <v>10</v>
      </c>
      <c r="J1452" s="860">
        <f>+D1452+G1452</f>
        <v>8</v>
      </c>
      <c r="K1452" s="1028">
        <f>+J1452/I1452</f>
        <v>0.8</v>
      </c>
    </row>
    <row r="1453" spans="1:11" ht="24.95" customHeight="1">
      <c r="A1453" s="1023" t="s">
        <v>3921</v>
      </c>
      <c r="B1453" s="1024" t="s">
        <v>3922</v>
      </c>
      <c r="C1453" s="1025">
        <v>3</v>
      </c>
      <c r="D1453" s="1025">
        <v>0</v>
      </c>
      <c r="E1453" s="1026">
        <f t="shared" ref="E1453:E1454" si="188">+D1453/C1453</f>
        <v>0</v>
      </c>
      <c r="F1453" s="1025">
        <v>0</v>
      </c>
      <c r="G1453" s="1025">
        <v>0</v>
      </c>
      <c r="H1453" s="1026" t="e">
        <f t="shared" ref="H1453:H1454" si="189">+G1453/F1453</f>
        <v>#DIV/0!</v>
      </c>
      <c r="I1453" s="1027">
        <f>+C1453+F1453</f>
        <v>3</v>
      </c>
      <c r="J1453" s="860">
        <f>+D1453+G1453</f>
        <v>0</v>
      </c>
      <c r="K1453" s="1028">
        <f t="shared" ref="K1453:K1454" si="190">+J1453/I1453</f>
        <v>0</v>
      </c>
    </row>
    <row r="1454" spans="1:11" ht="24.95" customHeight="1">
      <c r="A1454" s="1023"/>
      <c r="B1454" s="1024" t="s">
        <v>2</v>
      </c>
      <c r="C1454" s="1030">
        <f t="shared" ref="C1454:J1454" si="191">SUM(C1452:C1453)</f>
        <v>13</v>
      </c>
      <c r="D1454" s="1030">
        <f t="shared" si="191"/>
        <v>8</v>
      </c>
      <c r="E1454" s="1026">
        <f t="shared" si="188"/>
        <v>0.61538461538461542</v>
      </c>
      <c r="F1454" s="1030">
        <f t="shared" si="191"/>
        <v>0</v>
      </c>
      <c r="G1454" s="1030">
        <f t="shared" si="191"/>
        <v>0</v>
      </c>
      <c r="H1454" s="1026" t="e">
        <f t="shared" si="189"/>
        <v>#DIV/0!</v>
      </c>
      <c r="I1454" s="1030">
        <f t="shared" si="191"/>
        <v>13</v>
      </c>
      <c r="J1454" s="1030">
        <f t="shared" si="191"/>
        <v>8</v>
      </c>
      <c r="K1454" s="1028">
        <f t="shared" si="190"/>
        <v>0.61538461538461542</v>
      </c>
    </row>
    <row r="1455" spans="1:11" ht="24.95" customHeight="1">
      <c r="A1455" s="1023"/>
      <c r="B1455" s="1034" t="s">
        <v>1913</v>
      </c>
      <c r="C1455" s="2106"/>
      <c r="D1455" s="2106"/>
      <c r="E1455" s="2106"/>
      <c r="F1455" s="2106"/>
      <c r="G1455" s="2106"/>
      <c r="H1455" s="2106"/>
      <c r="I1455" s="2106"/>
      <c r="J1455" s="2106"/>
      <c r="K1455" s="2106"/>
    </row>
    <row r="1456" spans="1:11" ht="24.95" customHeight="1">
      <c r="A1456" s="1023" t="s">
        <v>2387</v>
      </c>
      <c r="B1456" s="1024" t="s">
        <v>2388</v>
      </c>
      <c r="C1456" s="1046">
        <v>7010</v>
      </c>
      <c r="D1456" s="1046">
        <v>3124</v>
      </c>
      <c r="E1456" s="1047">
        <f>+D1456/C1456</f>
        <v>0.4456490727532097</v>
      </c>
      <c r="F1456" s="1046">
        <v>2</v>
      </c>
      <c r="G1456" s="1046"/>
      <c r="H1456" s="1047">
        <f>+G1456/F1456</f>
        <v>0</v>
      </c>
      <c r="I1456" s="1040">
        <f t="shared" ref="I1456:J1465" si="192">+C1456+F1456</f>
        <v>7012</v>
      </c>
      <c r="J1456" s="860">
        <f>+D1456+G1456</f>
        <v>3124</v>
      </c>
      <c r="K1456" s="1028">
        <f>+J1456/I1456</f>
        <v>0.44552196235025671</v>
      </c>
    </row>
    <row r="1457" spans="1:11" ht="24.95" customHeight="1">
      <c r="A1457" s="1023" t="s">
        <v>3923</v>
      </c>
      <c r="B1457" s="1024" t="s">
        <v>3924</v>
      </c>
      <c r="C1457" s="1025">
        <v>5</v>
      </c>
      <c r="D1457" s="1025">
        <v>1</v>
      </c>
      <c r="E1457" s="1047">
        <f t="shared" ref="E1457:E1465" si="193">+D1457/C1457</f>
        <v>0.2</v>
      </c>
      <c r="F1457" s="1048">
        <v>450</v>
      </c>
      <c r="G1457" s="1048">
        <f>33+205</f>
        <v>238</v>
      </c>
      <c r="H1457" s="1047">
        <f t="shared" ref="H1457:H1465" si="194">+G1457/F1457</f>
        <v>0.52888888888888885</v>
      </c>
      <c r="I1457" s="1027">
        <f t="shared" si="192"/>
        <v>455</v>
      </c>
      <c r="J1457" s="860">
        <f t="shared" si="192"/>
        <v>239</v>
      </c>
      <c r="K1457" s="1028">
        <f t="shared" ref="K1457:K1465" si="195">+J1457/I1457</f>
        <v>0.5252747252747253</v>
      </c>
    </row>
    <row r="1458" spans="1:11" ht="24.95" customHeight="1">
      <c r="A1458" s="1023" t="s">
        <v>3925</v>
      </c>
      <c r="B1458" s="1033" t="s">
        <v>3926</v>
      </c>
      <c r="C1458" s="1025">
        <v>0</v>
      </c>
      <c r="D1458" s="1025"/>
      <c r="E1458" s="1047" t="e">
        <f t="shared" si="193"/>
        <v>#DIV/0!</v>
      </c>
      <c r="F1458" s="1025">
        <v>0</v>
      </c>
      <c r="G1458" s="1025"/>
      <c r="H1458" s="1047" t="e">
        <f t="shared" si="194"/>
        <v>#DIV/0!</v>
      </c>
      <c r="I1458" s="1027">
        <f t="shared" si="192"/>
        <v>0</v>
      </c>
      <c r="J1458" s="860">
        <f t="shared" si="192"/>
        <v>0</v>
      </c>
      <c r="K1458" s="1028" t="e">
        <f t="shared" si="195"/>
        <v>#DIV/0!</v>
      </c>
    </row>
    <row r="1459" spans="1:11" ht="24.95" customHeight="1">
      <c r="A1459" s="1023" t="s">
        <v>3927</v>
      </c>
      <c r="B1459" s="1024" t="s">
        <v>3928</v>
      </c>
      <c r="C1459" s="1025">
        <v>465</v>
      </c>
      <c r="D1459" s="1025">
        <v>103</v>
      </c>
      <c r="E1459" s="1047">
        <f t="shared" si="193"/>
        <v>0.22150537634408601</v>
      </c>
      <c r="F1459" s="1025">
        <v>190</v>
      </c>
      <c r="G1459" s="1025">
        <f>21+6</f>
        <v>27</v>
      </c>
      <c r="H1459" s="1047">
        <f t="shared" si="194"/>
        <v>0.14210526315789473</v>
      </c>
      <c r="I1459" s="1027">
        <f t="shared" si="192"/>
        <v>655</v>
      </c>
      <c r="J1459" s="860">
        <f t="shared" si="192"/>
        <v>130</v>
      </c>
      <c r="K1459" s="1028">
        <f t="shared" si="195"/>
        <v>0.19847328244274809</v>
      </c>
    </row>
    <row r="1460" spans="1:11" ht="24.95" customHeight="1">
      <c r="A1460" s="1023" t="s">
        <v>3929</v>
      </c>
      <c r="B1460" s="1024" t="s">
        <v>3930</v>
      </c>
      <c r="C1460" s="1025">
        <v>1130</v>
      </c>
      <c r="D1460" s="1025">
        <f>2+430</f>
        <v>432</v>
      </c>
      <c r="E1460" s="1047">
        <f t="shared" si="193"/>
        <v>0.38230088495575221</v>
      </c>
      <c r="F1460" s="1025">
        <v>1100</v>
      </c>
      <c r="G1460" s="1025">
        <f>126+259+9</f>
        <v>394</v>
      </c>
      <c r="H1460" s="1047">
        <f t="shared" si="194"/>
        <v>0.35818181818181816</v>
      </c>
      <c r="I1460" s="1027">
        <f t="shared" si="192"/>
        <v>2230</v>
      </c>
      <c r="J1460" s="860">
        <f t="shared" si="192"/>
        <v>826</v>
      </c>
      <c r="K1460" s="1028">
        <f t="shared" si="195"/>
        <v>0.37040358744394619</v>
      </c>
    </row>
    <row r="1461" spans="1:11" ht="24.95" customHeight="1">
      <c r="A1461" s="1023" t="s">
        <v>2224</v>
      </c>
      <c r="B1461" s="1024" t="s">
        <v>3931</v>
      </c>
      <c r="C1461" s="1025">
        <v>0</v>
      </c>
      <c r="D1461" s="1025"/>
      <c r="E1461" s="1047" t="e">
        <f t="shared" si="193"/>
        <v>#DIV/0!</v>
      </c>
      <c r="F1461" s="1025">
        <v>15</v>
      </c>
      <c r="G1461" s="1025">
        <v>1</v>
      </c>
      <c r="H1461" s="1047">
        <f t="shared" si="194"/>
        <v>6.6666666666666666E-2</v>
      </c>
      <c r="I1461" s="1027">
        <f t="shared" si="192"/>
        <v>15</v>
      </c>
      <c r="J1461" s="860">
        <f t="shared" si="192"/>
        <v>1</v>
      </c>
      <c r="K1461" s="1028">
        <f t="shared" si="195"/>
        <v>6.6666666666666666E-2</v>
      </c>
    </row>
    <row r="1462" spans="1:11" ht="24.95" customHeight="1">
      <c r="A1462" s="1023" t="s">
        <v>2230</v>
      </c>
      <c r="B1462" s="1024" t="s">
        <v>3932</v>
      </c>
      <c r="C1462" s="1025"/>
      <c r="D1462" s="1025"/>
      <c r="E1462" s="1047" t="e">
        <f t="shared" si="193"/>
        <v>#DIV/0!</v>
      </c>
      <c r="F1462" s="1025"/>
      <c r="G1462" s="1025"/>
      <c r="H1462" s="1047" t="e">
        <f t="shared" si="194"/>
        <v>#DIV/0!</v>
      </c>
      <c r="I1462" s="1027">
        <f t="shared" si="192"/>
        <v>0</v>
      </c>
      <c r="J1462" s="860">
        <f t="shared" si="192"/>
        <v>0</v>
      </c>
      <c r="K1462" s="1028" t="e">
        <f t="shared" si="195"/>
        <v>#DIV/0!</v>
      </c>
    </row>
    <row r="1463" spans="1:11" ht="24.95" customHeight="1">
      <c r="A1463" s="1023" t="s">
        <v>3933</v>
      </c>
      <c r="B1463" s="1024" t="s">
        <v>3934</v>
      </c>
      <c r="C1463" s="1025">
        <v>0</v>
      </c>
      <c r="D1463" s="1025"/>
      <c r="E1463" s="1047" t="e">
        <f t="shared" si="193"/>
        <v>#DIV/0!</v>
      </c>
      <c r="F1463" s="1025">
        <v>10</v>
      </c>
      <c r="G1463" s="1025">
        <v>1</v>
      </c>
      <c r="H1463" s="1047">
        <f t="shared" si="194"/>
        <v>0.1</v>
      </c>
      <c r="I1463" s="1027">
        <f t="shared" si="192"/>
        <v>10</v>
      </c>
      <c r="J1463" s="860">
        <f t="shared" si="192"/>
        <v>1</v>
      </c>
      <c r="K1463" s="1028">
        <f t="shared" si="195"/>
        <v>0.1</v>
      </c>
    </row>
    <row r="1464" spans="1:11" ht="24.95" customHeight="1">
      <c r="A1464" s="1023" t="s">
        <v>3192</v>
      </c>
      <c r="B1464" s="1024" t="s">
        <v>3193</v>
      </c>
      <c r="C1464" s="1025">
        <v>5</v>
      </c>
      <c r="D1464" s="1025"/>
      <c r="E1464" s="1047">
        <f t="shared" si="193"/>
        <v>0</v>
      </c>
      <c r="F1464" s="1025"/>
      <c r="G1464" s="1025"/>
      <c r="H1464" s="1047" t="e">
        <f t="shared" si="194"/>
        <v>#DIV/0!</v>
      </c>
      <c r="I1464" s="1027">
        <f t="shared" si="192"/>
        <v>5</v>
      </c>
      <c r="J1464" s="860">
        <f t="shared" si="192"/>
        <v>0</v>
      </c>
      <c r="K1464" s="1028">
        <f t="shared" si="195"/>
        <v>0</v>
      </c>
    </row>
    <row r="1465" spans="1:11" ht="24.95" customHeight="1">
      <c r="A1465" s="1023"/>
      <c r="B1465" s="1024" t="s">
        <v>2</v>
      </c>
      <c r="C1465" s="1030">
        <f>SUM(C1456:C1464)</f>
        <v>8615</v>
      </c>
      <c r="D1465" s="1030">
        <f>SUM(D1456:D1464)</f>
        <v>3660</v>
      </c>
      <c r="E1465" s="1047">
        <f t="shared" si="193"/>
        <v>0.42484039466047591</v>
      </c>
      <c r="F1465" s="1030">
        <f>SUM(F1456:F1464)</f>
        <v>1767</v>
      </c>
      <c r="G1465" s="1030">
        <f>SUM(G1456:G1464)</f>
        <v>661</v>
      </c>
      <c r="H1465" s="1047">
        <f t="shared" si="194"/>
        <v>0.37408036219581209</v>
      </c>
      <c r="I1465" s="1027">
        <f t="shared" si="192"/>
        <v>10382</v>
      </c>
      <c r="J1465" s="1027">
        <f t="shared" si="192"/>
        <v>4321</v>
      </c>
      <c r="K1465" s="1028">
        <f t="shared" si="195"/>
        <v>0.41620111731843573</v>
      </c>
    </row>
    <row r="1466" spans="1:11" ht="24.95" customHeight="1">
      <c r="A1466" s="2107"/>
      <c r="B1466" s="2107"/>
      <c r="C1466" s="2107"/>
      <c r="D1466" s="2107"/>
      <c r="E1466" s="2107"/>
      <c r="F1466" s="2107"/>
      <c r="G1466" s="2107"/>
      <c r="H1466" s="2107"/>
      <c r="I1466" s="2107"/>
      <c r="J1466" s="2107"/>
      <c r="K1466" s="2107"/>
    </row>
    <row r="1467" spans="1:11" ht="24.95" customHeight="1">
      <c r="A1467" s="1023"/>
      <c r="B1467" s="1034" t="s">
        <v>1914</v>
      </c>
      <c r="C1467" s="2106"/>
      <c r="D1467" s="2106"/>
      <c r="E1467" s="2106"/>
      <c r="F1467" s="2106"/>
      <c r="G1467" s="2106"/>
      <c r="H1467" s="2106"/>
      <c r="I1467" s="2106"/>
      <c r="J1467" s="2106"/>
      <c r="K1467" s="2106"/>
    </row>
    <row r="1468" spans="1:11" ht="24.95" customHeight="1">
      <c r="A1468" s="1023" t="s">
        <v>2387</v>
      </c>
      <c r="B1468" s="1024" t="s">
        <v>2388</v>
      </c>
      <c r="C1468" s="1025">
        <v>9780</v>
      </c>
      <c r="D1468" s="1025">
        <v>5074</v>
      </c>
      <c r="E1468" s="1026">
        <f>+D1468/C1468</f>
        <v>0.51881390593047039</v>
      </c>
      <c r="F1468" s="1025"/>
      <c r="G1468" s="1025"/>
      <c r="H1468" s="1026" t="e">
        <f>+G1468/F1468</f>
        <v>#DIV/0!</v>
      </c>
      <c r="I1468" s="1027">
        <f>+C1468+F1468</f>
        <v>9780</v>
      </c>
      <c r="J1468" s="860">
        <f>+D1468+G1468</f>
        <v>5074</v>
      </c>
      <c r="K1468" s="1028">
        <f>+J1468/I1468</f>
        <v>0.51881390593047039</v>
      </c>
    </row>
    <row r="1469" spans="1:11" ht="24.95" customHeight="1">
      <c r="A1469" s="1023" t="s">
        <v>2789</v>
      </c>
      <c r="B1469" s="1024" t="s">
        <v>2386</v>
      </c>
      <c r="C1469" s="1025"/>
      <c r="D1469" s="1025"/>
      <c r="E1469" s="1026" t="e">
        <f t="shared" ref="E1469:E1517" si="196">+D1469/C1469</f>
        <v>#DIV/0!</v>
      </c>
      <c r="F1469" s="1025"/>
      <c r="G1469" s="1025"/>
      <c r="H1469" s="1026" t="e">
        <f t="shared" ref="H1469:H1517" si="197">+G1469/F1469</f>
        <v>#DIV/0!</v>
      </c>
      <c r="I1469" s="1027"/>
      <c r="J1469" s="860">
        <f t="shared" ref="J1469:J1516" si="198">+D1469+G1469</f>
        <v>0</v>
      </c>
      <c r="K1469" s="1028" t="e">
        <f t="shared" ref="K1469:K1517" si="199">+J1469/I1469</f>
        <v>#DIV/0!</v>
      </c>
    </row>
    <row r="1470" spans="1:11" ht="24.95" customHeight="1">
      <c r="A1470" s="1023" t="s">
        <v>3935</v>
      </c>
      <c r="B1470" s="1024" t="s">
        <v>3936</v>
      </c>
      <c r="C1470" s="1025">
        <v>2</v>
      </c>
      <c r="D1470" s="1025"/>
      <c r="E1470" s="1026">
        <f t="shared" si="196"/>
        <v>0</v>
      </c>
      <c r="F1470" s="1025">
        <v>2</v>
      </c>
      <c r="G1470" s="1025"/>
      <c r="H1470" s="1026">
        <f t="shared" si="197"/>
        <v>0</v>
      </c>
      <c r="I1470" s="1027"/>
      <c r="J1470" s="860">
        <f t="shared" si="198"/>
        <v>0</v>
      </c>
      <c r="K1470" s="1028" t="e">
        <f t="shared" si="199"/>
        <v>#DIV/0!</v>
      </c>
    </row>
    <row r="1471" spans="1:11" ht="24.95" customHeight="1">
      <c r="A1471" s="1023" t="s">
        <v>3937</v>
      </c>
      <c r="B1471" s="1024" t="s">
        <v>3938</v>
      </c>
      <c r="C1471" s="1025">
        <v>2</v>
      </c>
      <c r="D1471" s="1025"/>
      <c r="E1471" s="1026">
        <f t="shared" si="196"/>
        <v>0</v>
      </c>
      <c r="F1471" s="1025"/>
      <c r="G1471" s="1025"/>
      <c r="H1471" s="1026" t="e">
        <f t="shared" si="197"/>
        <v>#DIV/0!</v>
      </c>
      <c r="I1471" s="1027"/>
      <c r="J1471" s="860">
        <f t="shared" si="198"/>
        <v>0</v>
      </c>
      <c r="K1471" s="1028" t="e">
        <f t="shared" si="199"/>
        <v>#DIV/0!</v>
      </c>
    </row>
    <row r="1472" spans="1:11" ht="24.95" customHeight="1">
      <c r="A1472" s="1023" t="s">
        <v>3833</v>
      </c>
      <c r="B1472" s="1024" t="s">
        <v>3834</v>
      </c>
      <c r="C1472" s="1025">
        <v>1</v>
      </c>
      <c r="D1472" s="1025"/>
      <c r="E1472" s="1026">
        <f t="shared" si="196"/>
        <v>0</v>
      </c>
      <c r="F1472" s="1025"/>
      <c r="G1472" s="1025"/>
      <c r="H1472" s="1026" t="e">
        <f t="shared" si="197"/>
        <v>#DIV/0!</v>
      </c>
      <c r="I1472" s="1027">
        <f t="shared" ref="I1472:I1516" si="200">+C1472+F1472</f>
        <v>1</v>
      </c>
      <c r="J1472" s="860">
        <f t="shared" si="198"/>
        <v>0</v>
      </c>
      <c r="K1472" s="1028">
        <f t="shared" si="199"/>
        <v>0</v>
      </c>
    </row>
    <row r="1473" spans="1:11" ht="24.95" customHeight="1">
      <c r="A1473" s="1023" t="s">
        <v>2401</v>
      </c>
      <c r="B1473" s="1049" t="s">
        <v>2402</v>
      </c>
      <c r="C1473" s="1025">
        <v>910</v>
      </c>
      <c r="D1473" s="1025">
        <v>558</v>
      </c>
      <c r="E1473" s="1026">
        <f t="shared" si="196"/>
        <v>0.61318681318681323</v>
      </c>
      <c r="F1473" s="1025"/>
      <c r="G1473" s="1025"/>
      <c r="H1473" s="1026" t="e">
        <f t="shared" si="197"/>
        <v>#DIV/0!</v>
      </c>
      <c r="I1473" s="1027">
        <f t="shared" si="200"/>
        <v>910</v>
      </c>
      <c r="J1473" s="860">
        <f t="shared" si="198"/>
        <v>558</v>
      </c>
      <c r="K1473" s="1028">
        <f t="shared" si="199"/>
        <v>0.61318681318681323</v>
      </c>
    </row>
    <row r="1474" spans="1:11" ht="24.95" customHeight="1">
      <c r="A1474" s="1023" t="s">
        <v>2403</v>
      </c>
      <c r="B1474" s="1049" t="s">
        <v>2404</v>
      </c>
      <c r="C1474" s="1025">
        <v>10</v>
      </c>
      <c r="D1474" s="1025"/>
      <c r="E1474" s="1026">
        <f t="shared" si="196"/>
        <v>0</v>
      </c>
      <c r="F1474" s="1025"/>
      <c r="G1474" s="1025"/>
      <c r="H1474" s="1026" t="e">
        <f t="shared" si="197"/>
        <v>#DIV/0!</v>
      </c>
      <c r="I1474" s="1027">
        <f t="shared" si="200"/>
        <v>10</v>
      </c>
      <c r="J1474" s="860">
        <f t="shared" si="198"/>
        <v>0</v>
      </c>
      <c r="K1474" s="1028">
        <f t="shared" si="199"/>
        <v>0</v>
      </c>
    </row>
    <row r="1475" spans="1:11" ht="24.95" customHeight="1">
      <c r="A1475" s="1023" t="s">
        <v>2429</v>
      </c>
      <c r="B1475" s="1049" t="s">
        <v>2430</v>
      </c>
      <c r="C1475" s="1025">
        <v>3</v>
      </c>
      <c r="D1475" s="1025"/>
      <c r="E1475" s="1026">
        <f t="shared" si="196"/>
        <v>0</v>
      </c>
      <c r="F1475" s="1025"/>
      <c r="G1475" s="1025"/>
      <c r="H1475" s="1026" t="e">
        <f t="shared" si="197"/>
        <v>#DIV/0!</v>
      </c>
      <c r="I1475" s="1027">
        <f t="shared" si="200"/>
        <v>3</v>
      </c>
      <c r="J1475" s="860">
        <f t="shared" si="198"/>
        <v>0</v>
      </c>
      <c r="K1475" s="1028">
        <f t="shared" si="199"/>
        <v>0</v>
      </c>
    </row>
    <row r="1476" spans="1:11" ht="24.95" customHeight="1">
      <c r="A1476" s="1023" t="s">
        <v>3839</v>
      </c>
      <c r="B1476" s="1049" t="s">
        <v>3840</v>
      </c>
      <c r="C1476" s="1025">
        <v>0</v>
      </c>
      <c r="D1476" s="1025"/>
      <c r="E1476" s="1026" t="e">
        <f t="shared" si="196"/>
        <v>#DIV/0!</v>
      </c>
      <c r="F1476" s="1025">
        <v>3</v>
      </c>
      <c r="G1476" s="1025"/>
      <c r="H1476" s="1026">
        <f t="shared" si="197"/>
        <v>0</v>
      </c>
      <c r="I1476" s="1027">
        <f t="shared" si="200"/>
        <v>3</v>
      </c>
      <c r="J1476" s="860">
        <f t="shared" si="198"/>
        <v>0</v>
      </c>
      <c r="K1476" s="1028">
        <f t="shared" si="199"/>
        <v>0</v>
      </c>
    </row>
    <row r="1477" spans="1:11" ht="24.95" customHeight="1">
      <c r="A1477" s="1023" t="s">
        <v>3841</v>
      </c>
      <c r="B1477" s="1049" t="s">
        <v>3842</v>
      </c>
      <c r="C1477" s="1025">
        <v>0</v>
      </c>
      <c r="D1477" s="1025"/>
      <c r="E1477" s="1026" t="e">
        <f t="shared" si="196"/>
        <v>#DIV/0!</v>
      </c>
      <c r="F1477" s="1025">
        <v>3</v>
      </c>
      <c r="G1477" s="1025"/>
      <c r="H1477" s="1026">
        <f t="shared" si="197"/>
        <v>0</v>
      </c>
      <c r="I1477" s="1027">
        <f t="shared" si="200"/>
        <v>3</v>
      </c>
      <c r="J1477" s="860">
        <f t="shared" si="198"/>
        <v>0</v>
      </c>
      <c r="K1477" s="1028">
        <f t="shared" si="199"/>
        <v>0</v>
      </c>
    </row>
    <row r="1478" spans="1:11" ht="24.95" customHeight="1">
      <c r="A1478" s="1023" t="s">
        <v>2435</v>
      </c>
      <c r="B1478" s="1024" t="s">
        <v>2436</v>
      </c>
      <c r="C1478" s="1025">
        <v>2</v>
      </c>
      <c r="D1478" s="1025"/>
      <c r="E1478" s="1026">
        <f t="shared" si="196"/>
        <v>0</v>
      </c>
      <c r="F1478" s="1025"/>
      <c r="G1478" s="1025"/>
      <c r="H1478" s="1026" t="e">
        <f t="shared" si="197"/>
        <v>#DIV/0!</v>
      </c>
      <c r="I1478" s="1027">
        <f t="shared" si="200"/>
        <v>2</v>
      </c>
      <c r="J1478" s="860">
        <f t="shared" si="198"/>
        <v>0</v>
      </c>
      <c r="K1478" s="1028">
        <f t="shared" si="199"/>
        <v>0</v>
      </c>
    </row>
    <row r="1479" spans="1:11" ht="24.95" customHeight="1">
      <c r="A1479" s="1023" t="s">
        <v>2873</v>
      </c>
      <c r="B1479" s="1024" t="s">
        <v>2874</v>
      </c>
      <c r="C1479" s="1025">
        <v>60</v>
      </c>
      <c r="D1479" s="1025">
        <f>5+47</f>
        <v>52</v>
      </c>
      <c r="E1479" s="1026">
        <f t="shared" si="196"/>
        <v>0.8666666666666667</v>
      </c>
      <c r="F1479" s="1025"/>
      <c r="G1479" s="1025"/>
      <c r="H1479" s="1026" t="e">
        <f t="shared" si="197"/>
        <v>#DIV/0!</v>
      </c>
      <c r="I1479" s="1027">
        <f t="shared" si="200"/>
        <v>60</v>
      </c>
      <c r="J1479" s="860">
        <f t="shared" si="198"/>
        <v>52</v>
      </c>
      <c r="K1479" s="1028">
        <f t="shared" si="199"/>
        <v>0.8666666666666667</v>
      </c>
    </row>
    <row r="1480" spans="1:11" ht="24.95" customHeight="1">
      <c r="A1480" s="1023" t="s">
        <v>2439</v>
      </c>
      <c r="B1480" s="1024" t="s">
        <v>3939</v>
      </c>
      <c r="C1480" s="1025">
        <v>150</v>
      </c>
      <c r="D1480" s="1025">
        <v>4</v>
      </c>
      <c r="E1480" s="1026">
        <f t="shared" si="196"/>
        <v>2.6666666666666668E-2</v>
      </c>
      <c r="F1480" s="1025"/>
      <c r="G1480" s="1025"/>
      <c r="H1480" s="1026" t="e">
        <f t="shared" si="197"/>
        <v>#DIV/0!</v>
      </c>
      <c r="I1480" s="1027">
        <f t="shared" si="200"/>
        <v>150</v>
      </c>
      <c r="J1480" s="860">
        <f t="shared" si="198"/>
        <v>4</v>
      </c>
      <c r="K1480" s="1028">
        <f t="shared" si="199"/>
        <v>2.6666666666666668E-2</v>
      </c>
    </row>
    <row r="1481" spans="1:11" ht="24.95" customHeight="1">
      <c r="A1481" s="1023" t="s">
        <v>3192</v>
      </c>
      <c r="B1481" s="1024" t="s">
        <v>3193</v>
      </c>
      <c r="C1481" s="1025">
        <v>25</v>
      </c>
      <c r="D1481" s="1025"/>
      <c r="E1481" s="1026">
        <f t="shared" si="196"/>
        <v>0</v>
      </c>
      <c r="F1481" s="1025"/>
      <c r="G1481" s="1025"/>
      <c r="H1481" s="1026" t="e">
        <f t="shared" si="197"/>
        <v>#DIV/0!</v>
      </c>
      <c r="I1481" s="1027">
        <f t="shared" si="200"/>
        <v>25</v>
      </c>
      <c r="J1481" s="860">
        <f t="shared" si="198"/>
        <v>0</v>
      </c>
      <c r="K1481" s="1028">
        <f t="shared" si="199"/>
        <v>0</v>
      </c>
    </row>
    <row r="1482" spans="1:11" ht="24.95" customHeight="1">
      <c r="A1482" s="1023" t="s">
        <v>2453</v>
      </c>
      <c r="B1482" s="1024" t="s">
        <v>3706</v>
      </c>
      <c r="C1482" s="1025">
        <v>30</v>
      </c>
      <c r="D1482" s="1025">
        <v>11</v>
      </c>
      <c r="E1482" s="1026">
        <f t="shared" si="196"/>
        <v>0.36666666666666664</v>
      </c>
      <c r="F1482" s="1025"/>
      <c r="G1482" s="1025"/>
      <c r="H1482" s="1026" t="e">
        <f t="shared" si="197"/>
        <v>#DIV/0!</v>
      </c>
      <c r="I1482" s="1027">
        <f t="shared" si="200"/>
        <v>30</v>
      </c>
      <c r="J1482" s="860">
        <f t="shared" si="198"/>
        <v>11</v>
      </c>
      <c r="K1482" s="1028">
        <f t="shared" si="199"/>
        <v>0.36666666666666664</v>
      </c>
    </row>
    <row r="1483" spans="1:11" ht="24.95" customHeight="1">
      <c r="A1483" s="1023" t="s">
        <v>2455</v>
      </c>
      <c r="B1483" s="1024" t="s">
        <v>2456</v>
      </c>
      <c r="C1483" s="1025">
        <v>25</v>
      </c>
      <c r="D1483" s="1025">
        <v>11</v>
      </c>
      <c r="E1483" s="1026">
        <f t="shared" si="196"/>
        <v>0.44</v>
      </c>
      <c r="F1483" s="1025"/>
      <c r="G1483" s="1025"/>
      <c r="H1483" s="1026" t="e">
        <f t="shared" si="197"/>
        <v>#DIV/0!</v>
      </c>
      <c r="I1483" s="1027">
        <f t="shared" si="200"/>
        <v>25</v>
      </c>
      <c r="J1483" s="860">
        <f t="shared" si="198"/>
        <v>11</v>
      </c>
      <c r="K1483" s="1028">
        <f t="shared" si="199"/>
        <v>0.44</v>
      </c>
    </row>
    <row r="1484" spans="1:11" ht="24.95" customHeight="1">
      <c r="A1484" s="1023" t="s">
        <v>2459</v>
      </c>
      <c r="B1484" s="1024" t="s">
        <v>2460</v>
      </c>
      <c r="C1484" s="1025">
        <v>1</v>
      </c>
      <c r="D1484" s="1025"/>
      <c r="E1484" s="1026">
        <f t="shared" si="196"/>
        <v>0</v>
      </c>
      <c r="F1484" s="1025"/>
      <c r="G1484" s="1025"/>
      <c r="H1484" s="1026" t="e">
        <f t="shared" si="197"/>
        <v>#DIV/0!</v>
      </c>
      <c r="I1484" s="1027">
        <f t="shared" si="200"/>
        <v>1</v>
      </c>
      <c r="J1484" s="860">
        <f t="shared" si="198"/>
        <v>0</v>
      </c>
      <c r="K1484" s="1028">
        <f t="shared" si="199"/>
        <v>0</v>
      </c>
    </row>
    <row r="1485" spans="1:11" ht="24.95" customHeight="1">
      <c r="A1485" s="1023" t="s">
        <v>2461</v>
      </c>
      <c r="B1485" s="1024" t="s">
        <v>2462</v>
      </c>
      <c r="C1485" s="1025">
        <v>1</v>
      </c>
      <c r="D1485" s="1025">
        <v>1</v>
      </c>
      <c r="E1485" s="1026">
        <f t="shared" si="196"/>
        <v>1</v>
      </c>
      <c r="F1485" s="1025"/>
      <c r="G1485" s="1025"/>
      <c r="H1485" s="1026" t="e">
        <f t="shared" si="197"/>
        <v>#DIV/0!</v>
      </c>
      <c r="I1485" s="1027">
        <f t="shared" si="200"/>
        <v>1</v>
      </c>
      <c r="J1485" s="860">
        <f t="shared" si="198"/>
        <v>1</v>
      </c>
      <c r="K1485" s="1028">
        <f t="shared" si="199"/>
        <v>1</v>
      </c>
    </row>
    <row r="1486" spans="1:11" ht="24.95" customHeight="1">
      <c r="A1486" s="1023" t="s">
        <v>2946</v>
      </c>
      <c r="B1486" s="1024" t="s">
        <v>2947</v>
      </c>
      <c r="C1486" s="1025">
        <v>2</v>
      </c>
      <c r="D1486" s="1025"/>
      <c r="E1486" s="1026">
        <f t="shared" si="196"/>
        <v>0</v>
      </c>
      <c r="F1486" s="1025"/>
      <c r="G1486" s="1025"/>
      <c r="H1486" s="1026" t="e">
        <f t="shared" si="197"/>
        <v>#DIV/0!</v>
      </c>
      <c r="I1486" s="1027">
        <f t="shared" si="200"/>
        <v>2</v>
      </c>
      <c r="J1486" s="860">
        <f t="shared" si="198"/>
        <v>0</v>
      </c>
      <c r="K1486" s="1028">
        <f t="shared" si="199"/>
        <v>0</v>
      </c>
    </row>
    <row r="1487" spans="1:11" ht="24.95" customHeight="1">
      <c r="A1487" s="1023" t="s">
        <v>3940</v>
      </c>
      <c r="B1487" s="1024" t="s">
        <v>3941</v>
      </c>
      <c r="C1487" s="1025"/>
      <c r="D1487" s="1025"/>
      <c r="E1487" s="1026" t="e">
        <f t="shared" si="196"/>
        <v>#DIV/0!</v>
      </c>
      <c r="F1487" s="1025">
        <v>2</v>
      </c>
      <c r="G1487" s="1025"/>
      <c r="H1487" s="1026">
        <f t="shared" si="197"/>
        <v>0</v>
      </c>
      <c r="I1487" s="1027">
        <f t="shared" si="200"/>
        <v>2</v>
      </c>
      <c r="J1487" s="860">
        <f t="shared" si="198"/>
        <v>0</v>
      </c>
      <c r="K1487" s="1028">
        <f t="shared" si="199"/>
        <v>0</v>
      </c>
    </row>
    <row r="1488" spans="1:11" ht="24.95" customHeight="1">
      <c r="A1488" s="1023" t="s">
        <v>3853</v>
      </c>
      <c r="B1488" s="1024" t="s">
        <v>2950</v>
      </c>
      <c r="C1488" s="1025">
        <v>2</v>
      </c>
      <c r="D1488" s="1025"/>
      <c r="E1488" s="1026">
        <f t="shared" si="196"/>
        <v>0</v>
      </c>
      <c r="F1488" s="1025"/>
      <c r="G1488" s="1025"/>
      <c r="H1488" s="1026" t="e">
        <f t="shared" si="197"/>
        <v>#DIV/0!</v>
      </c>
      <c r="I1488" s="1027">
        <f t="shared" si="200"/>
        <v>2</v>
      </c>
      <c r="J1488" s="860">
        <f t="shared" si="198"/>
        <v>0</v>
      </c>
      <c r="K1488" s="1028">
        <f t="shared" si="199"/>
        <v>0</v>
      </c>
    </row>
    <row r="1489" spans="1:11" ht="24.95" customHeight="1">
      <c r="A1489" s="1023" t="s">
        <v>2951</v>
      </c>
      <c r="B1489" s="1024" t="s">
        <v>3856</v>
      </c>
      <c r="C1489" s="1025">
        <v>2</v>
      </c>
      <c r="D1489" s="1025"/>
      <c r="E1489" s="1026">
        <f t="shared" si="196"/>
        <v>0</v>
      </c>
      <c r="F1489" s="1025"/>
      <c r="G1489" s="1025"/>
      <c r="H1489" s="1026" t="e">
        <f t="shared" si="197"/>
        <v>#DIV/0!</v>
      </c>
      <c r="I1489" s="1027">
        <f t="shared" si="200"/>
        <v>2</v>
      </c>
      <c r="J1489" s="860">
        <f t="shared" si="198"/>
        <v>0</v>
      </c>
      <c r="K1489" s="1028">
        <f t="shared" si="199"/>
        <v>0</v>
      </c>
    </row>
    <row r="1490" spans="1:11" ht="24.95" customHeight="1">
      <c r="A1490" s="1023" t="s">
        <v>2955</v>
      </c>
      <c r="B1490" s="1024" t="s">
        <v>2956</v>
      </c>
      <c r="C1490" s="1025">
        <v>4</v>
      </c>
      <c r="D1490" s="1025"/>
      <c r="E1490" s="1026">
        <f t="shared" si="196"/>
        <v>0</v>
      </c>
      <c r="F1490" s="1025"/>
      <c r="G1490" s="1025"/>
      <c r="H1490" s="1026" t="e">
        <f t="shared" si="197"/>
        <v>#DIV/0!</v>
      </c>
      <c r="I1490" s="1027">
        <f t="shared" si="200"/>
        <v>4</v>
      </c>
      <c r="J1490" s="860">
        <f t="shared" si="198"/>
        <v>0</v>
      </c>
      <c r="K1490" s="1028">
        <f t="shared" si="199"/>
        <v>0</v>
      </c>
    </row>
    <row r="1491" spans="1:11" ht="24.95" customHeight="1">
      <c r="A1491" s="1023" t="s">
        <v>2613</v>
      </c>
      <c r="B1491" s="1024" t="s">
        <v>3942</v>
      </c>
      <c r="C1491" s="1025">
        <v>1</v>
      </c>
      <c r="D1491" s="1025">
        <v>1</v>
      </c>
      <c r="E1491" s="1026">
        <f t="shared" si="196"/>
        <v>1</v>
      </c>
      <c r="F1491" s="1025"/>
      <c r="G1491" s="1025"/>
      <c r="H1491" s="1026" t="e">
        <f t="shared" si="197"/>
        <v>#DIV/0!</v>
      </c>
      <c r="I1491" s="1027">
        <f t="shared" si="200"/>
        <v>1</v>
      </c>
      <c r="J1491" s="860">
        <f t="shared" si="198"/>
        <v>1</v>
      </c>
      <c r="K1491" s="1028">
        <f t="shared" si="199"/>
        <v>1</v>
      </c>
    </row>
    <row r="1492" spans="1:11" ht="24.95" customHeight="1">
      <c r="A1492" s="1023" t="s">
        <v>2959</v>
      </c>
      <c r="B1492" s="1024" t="s">
        <v>2960</v>
      </c>
      <c r="C1492" s="1025">
        <v>3</v>
      </c>
      <c r="D1492" s="1025"/>
      <c r="E1492" s="1026">
        <f t="shared" si="196"/>
        <v>0</v>
      </c>
      <c r="F1492" s="1025"/>
      <c r="G1492" s="1025"/>
      <c r="H1492" s="1026" t="e">
        <f t="shared" si="197"/>
        <v>#DIV/0!</v>
      </c>
      <c r="I1492" s="1027">
        <f t="shared" si="200"/>
        <v>3</v>
      </c>
      <c r="J1492" s="860">
        <f t="shared" si="198"/>
        <v>0</v>
      </c>
      <c r="K1492" s="1028">
        <f t="shared" si="199"/>
        <v>0</v>
      </c>
    </row>
    <row r="1493" spans="1:11" ht="24.95" customHeight="1">
      <c r="A1493" s="1023" t="s">
        <v>3201</v>
      </c>
      <c r="B1493" s="1024" t="s">
        <v>3202</v>
      </c>
      <c r="C1493" s="1025">
        <v>3</v>
      </c>
      <c r="D1493" s="1025"/>
      <c r="E1493" s="1026">
        <f t="shared" si="196"/>
        <v>0</v>
      </c>
      <c r="F1493" s="1025"/>
      <c r="G1493" s="1025"/>
      <c r="H1493" s="1026" t="e">
        <f t="shared" si="197"/>
        <v>#DIV/0!</v>
      </c>
      <c r="I1493" s="1027">
        <f t="shared" si="200"/>
        <v>3</v>
      </c>
      <c r="J1493" s="860">
        <f t="shared" si="198"/>
        <v>0</v>
      </c>
      <c r="K1493" s="1028">
        <f t="shared" si="199"/>
        <v>0</v>
      </c>
    </row>
    <row r="1494" spans="1:11" ht="24.95" customHeight="1">
      <c r="A1494" s="1023" t="s">
        <v>2327</v>
      </c>
      <c r="B1494" s="1024" t="s">
        <v>2328</v>
      </c>
      <c r="C1494" s="1025">
        <v>5</v>
      </c>
      <c r="D1494" s="1025"/>
      <c r="E1494" s="1026">
        <f t="shared" si="196"/>
        <v>0</v>
      </c>
      <c r="F1494" s="1025"/>
      <c r="G1494" s="1025"/>
      <c r="H1494" s="1026" t="e">
        <f t="shared" si="197"/>
        <v>#DIV/0!</v>
      </c>
      <c r="I1494" s="1027">
        <f t="shared" si="200"/>
        <v>5</v>
      </c>
      <c r="J1494" s="860">
        <f t="shared" si="198"/>
        <v>0</v>
      </c>
      <c r="K1494" s="1028">
        <f t="shared" si="199"/>
        <v>0</v>
      </c>
    </row>
    <row r="1495" spans="1:11" ht="24.95" customHeight="1">
      <c r="A1495" s="1023" t="s">
        <v>2176</v>
      </c>
      <c r="B1495" s="1024" t="s">
        <v>2177</v>
      </c>
      <c r="C1495" s="1025">
        <v>5</v>
      </c>
      <c r="D1495" s="1025">
        <v>1</v>
      </c>
      <c r="E1495" s="1026">
        <f t="shared" si="196"/>
        <v>0.2</v>
      </c>
      <c r="F1495" s="1025"/>
      <c r="G1495" s="1025"/>
      <c r="H1495" s="1026" t="e">
        <f t="shared" si="197"/>
        <v>#DIV/0!</v>
      </c>
      <c r="I1495" s="1027">
        <f t="shared" si="200"/>
        <v>5</v>
      </c>
      <c r="J1495" s="860">
        <f t="shared" si="198"/>
        <v>1</v>
      </c>
      <c r="K1495" s="1028">
        <f t="shared" si="199"/>
        <v>0.2</v>
      </c>
    </row>
    <row r="1496" spans="1:11" ht="24.95" customHeight="1">
      <c r="A1496" s="1023" t="s">
        <v>3203</v>
      </c>
      <c r="B1496" s="1024" t="s">
        <v>3204</v>
      </c>
      <c r="C1496" s="1025">
        <v>3</v>
      </c>
      <c r="D1496" s="1025"/>
      <c r="E1496" s="1026">
        <f t="shared" si="196"/>
        <v>0</v>
      </c>
      <c r="F1496" s="1025"/>
      <c r="G1496" s="1025"/>
      <c r="H1496" s="1026" t="e">
        <f t="shared" si="197"/>
        <v>#DIV/0!</v>
      </c>
      <c r="I1496" s="1027">
        <f t="shared" si="200"/>
        <v>3</v>
      </c>
      <c r="J1496" s="860">
        <f t="shared" si="198"/>
        <v>0</v>
      </c>
      <c r="K1496" s="1028">
        <f t="shared" si="199"/>
        <v>0</v>
      </c>
    </row>
    <row r="1497" spans="1:11" ht="24.95" customHeight="1">
      <c r="A1497" s="1023" t="s">
        <v>3046</v>
      </c>
      <c r="B1497" s="1024" t="s">
        <v>3047</v>
      </c>
      <c r="C1497" s="1025">
        <v>3</v>
      </c>
      <c r="D1497" s="1025"/>
      <c r="E1497" s="1026">
        <f t="shared" si="196"/>
        <v>0</v>
      </c>
      <c r="F1497" s="1025"/>
      <c r="G1497" s="1025"/>
      <c r="H1497" s="1026" t="e">
        <f t="shared" si="197"/>
        <v>#DIV/0!</v>
      </c>
      <c r="I1497" s="1027">
        <f t="shared" si="200"/>
        <v>3</v>
      </c>
      <c r="J1497" s="860">
        <f t="shared" si="198"/>
        <v>0</v>
      </c>
      <c r="K1497" s="1028">
        <f t="shared" si="199"/>
        <v>0</v>
      </c>
    </row>
    <row r="1498" spans="1:11" ht="24.95" customHeight="1">
      <c r="A1498" s="1023" t="s">
        <v>3205</v>
      </c>
      <c r="B1498" s="1024" t="s">
        <v>3206</v>
      </c>
      <c r="C1498" s="1025">
        <v>3</v>
      </c>
      <c r="D1498" s="1025"/>
      <c r="E1498" s="1026">
        <f t="shared" si="196"/>
        <v>0</v>
      </c>
      <c r="F1498" s="1025"/>
      <c r="G1498" s="1025"/>
      <c r="H1498" s="1026" t="e">
        <f t="shared" si="197"/>
        <v>#DIV/0!</v>
      </c>
      <c r="I1498" s="1027">
        <f t="shared" si="200"/>
        <v>3</v>
      </c>
      <c r="J1498" s="860">
        <f t="shared" si="198"/>
        <v>0</v>
      </c>
      <c r="K1498" s="1028">
        <f t="shared" si="199"/>
        <v>0</v>
      </c>
    </row>
    <row r="1499" spans="1:11" ht="24.95" customHeight="1">
      <c r="A1499" s="1029" t="s">
        <v>2620</v>
      </c>
      <c r="B1499" s="1033" t="s">
        <v>2621</v>
      </c>
      <c r="C1499" s="1025">
        <v>300</v>
      </c>
      <c r="D1499" s="1025">
        <v>134</v>
      </c>
      <c r="E1499" s="1026">
        <f t="shared" si="196"/>
        <v>0.44666666666666666</v>
      </c>
      <c r="F1499" s="1025"/>
      <c r="G1499" s="1025"/>
      <c r="H1499" s="1026" t="e">
        <f t="shared" si="197"/>
        <v>#DIV/0!</v>
      </c>
      <c r="I1499" s="1027">
        <f t="shared" si="200"/>
        <v>300</v>
      </c>
      <c r="J1499" s="860">
        <f t="shared" si="198"/>
        <v>134</v>
      </c>
      <c r="K1499" s="1028">
        <f t="shared" si="199"/>
        <v>0.44666666666666666</v>
      </c>
    </row>
    <row r="1500" spans="1:11" ht="24.95" customHeight="1">
      <c r="A1500" s="1029" t="s">
        <v>2329</v>
      </c>
      <c r="B1500" s="1033" t="s">
        <v>2961</v>
      </c>
      <c r="C1500" s="1025">
        <v>1</v>
      </c>
      <c r="D1500" s="1025"/>
      <c r="E1500" s="1026">
        <f t="shared" si="196"/>
        <v>0</v>
      </c>
      <c r="F1500" s="1025"/>
      <c r="G1500" s="1025"/>
      <c r="H1500" s="1026" t="e">
        <f t="shared" si="197"/>
        <v>#DIV/0!</v>
      </c>
      <c r="I1500" s="1027">
        <f t="shared" si="200"/>
        <v>1</v>
      </c>
      <c r="J1500" s="860">
        <f t="shared" si="198"/>
        <v>0</v>
      </c>
      <c r="K1500" s="1028">
        <f t="shared" si="199"/>
        <v>0</v>
      </c>
    </row>
    <row r="1501" spans="1:11" ht="24.95" customHeight="1">
      <c r="A1501" s="1023" t="s">
        <v>2622</v>
      </c>
      <c r="B1501" s="1024" t="s">
        <v>3943</v>
      </c>
      <c r="C1501" s="1025">
        <v>3</v>
      </c>
      <c r="D1501" s="1025">
        <v>3</v>
      </c>
      <c r="E1501" s="1026">
        <f t="shared" si="196"/>
        <v>1</v>
      </c>
      <c r="F1501" s="1025"/>
      <c r="G1501" s="1025"/>
      <c r="H1501" s="1026" t="e">
        <f t="shared" si="197"/>
        <v>#DIV/0!</v>
      </c>
      <c r="I1501" s="1027">
        <f t="shared" si="200"/>
        <v>3</v>
      </c>
      <c r="J1501" s="860">
        <f t="shared" si="198"/>
        <v>3</v>
      </c>
      <c r="K1501" s="1028">
        <f t="shared" si="199"/>
        <v>1</v>
      </c>
    </row>
    <row r="1502" spans="1:11" ht="24.95" customHeight="1">
      <c r="A1502" s="1023" t="s">
        <v>2624</v>
      </c>
      <c r="B1502" s="1024" t="s">
        <v>2330</v>
      </c>
      <c r="C1502" s="1025">
        <v>20</v>
      </c>
      <c r="D1502" s="1025">
        <v>7</v>
      </c>
      <c r="E1502" s="1026">
        <f t="shared" si="196"/>
        <v>0.35</v>
      </c>
      <c r="F1502" s="1025"/>
      <c r="G1502" s="1025"/>
      <c r="H1502" s="1026" t="e">
        <f t="shared" si="197"/>
        <v>#DIV/0!</v>
      </c>
      <c r="I1502" s="1027">
        <f t="shared" si="200"/>
        <v>20</v>
      </c>
      <c r="J1502" s="860">
        <f t="shared" si="198"/>
        <v>7</v>
      </c>
      <c r="K1502" s="1028">
        <f t="shared" si="199"/>
        <v>0.35</v>
      </c>
    </row>
    <row r="1503" spans="1:11" ht="24.95" customHeight="1">
      <c r="A1503" s="1023" t="s">
        <v>2331</v>
      </c>
      <c r="B1503" s="1024" t="s">
        <v>2332</v>
      </c>
      <c r="C1503" s="1025">
        <v>60</v>
      </c>
      <c r="D1503" s="1025">
        <v>43</v>
      </c>
      <c r="E1503" s="1026">
        <f t="shared" si="196"/>
        <v>0.71666666666666667</v>
      </c>
      <c r="F1503" s="1025"/>
      <c r="G1503" s="1025"/>
      <c r="H1503" s="1026" t="e">
        <f t="shared" si="197"/>
        <v>#DIV/0!</v>
      </c>
      <c r="I1503" s="1027">
        <f t="shared" si="200"/>
        <v>60</v>
      </c>
      <c r="J1503" s="860">
        <f t="shared" si="198"/>
        <v>43</v>
      </c>
      <c r="K1503" s="1028">
        <f t="shared" si="199"/>
        <v>0.71666666666666667</v>
      </c>
    </row>
    <row r="1504" spans="1:11" ht="24.95" customHeight="1">
      <c r="A1504" s="1023" t="s">
        <v>2625</v>
      </c>
      <c r="B1504" s="1024" t="s">
        <v>3944</v>
      </c>
      <c r="C1504" s="1025">
        <v>1</v>
      </c>
      <c r="D1504" s="1025"/>
      <c r="E1504" s="1026">
        <f t="shared" si="196"/>
        <v>0</v>
      </c>
      <c r="F1504" s="1025"/>
      <c r="G1504" s="1025"/>
      <c r="H1504" s="1026" t="e">
        <f t="shared" si="197"/>
        <v>#DIV/0!</v>
      </c>
      <c r="I1504" s="1027">
        <f t="shared" si="200"/>
        <v>1</v>
      </c>
      <c r="J1504" s="860">
        <f t="shared" si="198"/>
        <v>0</v>
      </c>
      <c r="K1504" s="1028">
        <f t="shared" si="199"/>
        <v>0</v>
      </c>
    </row>
    <row r="1505" spans="1:11" ht="24.95" customHeight="1">
      <c r="A1505" s="1023" t="s">
        <v>2627</v>
      </c>
      <c r="B1505" s="1024" t="s">
        <v>2628</v>
      </c>
      <c r="C1505" s="1025">
        <v>45</v>
      </c>
      <c r="D1505" s="1025">
        <v>21</v>
      </c>
      <c r="E1505" s="1026">
        <f t="shared" si="196"/>
        <v>0.46666666666666667</v>
      </c>
      <c r="F1505" s="1025"/>
      <c r="G1505" s="1025"/>
      <c r="H1505" s="1026" t="e">
        <f t="shared" si="197"/>
        <v>#DIV/0!</v>
      </c>
      <c r="I1505" s="1027">
        <f t="shared" si="200"/>
        <v>45</v>
      </c>
      <c r="J1505" s="860">
        <f t="shared" si="198"/>
        <v>21</v>
      </c>
      <c r="K1505" s="1028">
        <f t="shared" si="199"/>
        <v>0.46666666666666667</v>
      </c>
    </row>
    <row r="1506" spans="1:11" ht="24.95" customHeight="1">
      <c r="A1506" s="1023" t="s">
        <v>2629</v>
      </c>
      <c r="B1506" s="1024" t="s">
        <v>2630</v>
      </c>
      <c r="C1506" s="1025">
        <v>270</v>
      </c>
      <c r="D1506" s="1025">
        <v>201</v>
      </c>
      <c r="E1506" s="1026">
        <f t="shared" si="196"/>
        <v>0.74444444444444446</v>
      </c>
      <c r="F1506" s="1025"/>
      <c r="G1506" s="1025"/>
      <c r="H1506" s="1026" t="e">
        <f t="shared" si="197"/>
        <v>#DIV/0!</v>
      </c>
      <c r="I1506" s="1027">
        <f t="shared" si="200"/>
        <v>270</v>
      </c>
      <c r="J1506" s="860">
        <f t="shared" si="198"/>
        <v>201</v>
      </c>
      <c r="K1506" s="1028">
        <f t="shared" si="199"/>
        <v>0.74444444444444446</v>
      </c>
    </row>
    <row r="1507" spans="1:11" ht="24.95" customHeight="1">
      <c r="A1507" s="1023" t="s">
        <v>2631</v>
      </c>
      <c r="B1507" s="1024" t="s">
        <v>2632</v>
      </c>
      <c r="C1507" s="1025">
        <v>830</v>
      </c>
      <c r="D1507" s="1025">
        <v>462</v>
      </c>
      <c r="E1507" s="1026">
        <f t="shared" si="196"/>
        <v>0.55662650602409636</v>
      </c>
      <c r="F1507" s="1025"/>
      <c r="G1507" s="1025"/>
      <c r="H1507" s="1026" t="e">
        <f t="shared" si="197"/>
        <v>#DIV/0!</v>
      </c>
      <c r="I1507" s="1027">
        <f t="shared" si="200"/>
        <v>830</v>
      </c>
      <c r="J1507" s="860">
        <f t="shared" si="198"/>
        <v>462</v>
      </c>
      <c r="K1507" s="1028">
        <f t="shared" si="199"/>
        <v>0.55662650602409636</v>
      </c>
    </row>
    <row r="1508" spans="1:11" ht="24.95" customHeight="1">
      <c r="A1508" s="1023" t="s">
        <v>2178</v>
      </c>
      <c r="B1508" s="1024" t="s">
        <v>2179</v>
      </c>
      <c r="C1508" s="1025">
        <v>1400</v>
      </c>
      <c r="D1508" s="1025">
        <v>804</v>
      </c>
      <c r="E1508" s="1026">
        <f t="shared" si="196"/>
        <v>0.57428571428571429</v>
      </c>
      <c r="F1508" s="1025"/>
      <c r="G1508" s="1025"/>
      <c r="H1508" s="1026" t="e">
        <f t="shared" si="197"/>
        <v>#DIV/0!</v>
      </c>
      <c r="I1508" s="1027">
        <f t="shared" si="200"/>
        <v>1400</v>
      </c>
      <c r="J1508" s="860">
        <f t="shared" si="198"/>
        <v>804</v>
      </c>
      <c r="K1508" s="1028">
        <f t="shared" si="199"/>
        <v>0.57428571428571429</v>
      </c>
    </row>
    <row r="1509" spans="1:11" ht="24.95" customHeight="1">
      <c r="A1509" s="1029" t="s">
        <v>2633</v>
      </c>
      <c r="B1509" s="1033" t="s">
        <v>2965</v>
      </c>
      <c r="C1509" s="1025">
        <v>55</v>
      </c>
      <c r="D1509" s="1025">
        <v>28</v>
      </c>
      <c r="E1509" s="1026">
        <f t="shared" si="196"/>
        <v>0.50909090909090904</v>
      </c>
      <c r="F1509" s="1025"/>
      <c r="G1509" s="1025"/>
      <c r="H1509" s="1026" t="e">
        <f t="shared" si="197"/>
        <v>#DIV/0!</v>
      </c>
      <c r="I1509" s="1027">
        <f t="shared" si="200"/>
        <v>55</v>
      </c>
      <c r="J1509" s="860">
        <f t="shared" si="198"/>
        <v>28</v>
      </c>
      <c r="K1509" s="1028">
        <f t="shared" si="199"/>
        <v>0.50909090909090904</v>
      </c>
    </row>
    <row r="1510" spans="1:11" ht="24.95" customHeight="1">
      <c r="A1510" s="1023" t="s">
        <v>2637</v>
      </c>
      <c r="B1510" s="1024" t="s">
        <v>2638</v>
      </c>
      <c r="C1510" s="1025">
        <v>20</v>
      </c>
      <c r="D1510" s="1025">
        <v>10</v>
      </c>
      <c r="E1510" s="1026">
        <f t="shared" si="196"/>
        <v>0.5</v>
      </c>
      <c r="F1510" s="1025"/>
      <c r="G1510" s="1025"/>
      <c r="H1510" s="1026" t="e">
        <f t="shared" si="197"/>
        <v>#DIV/0!</v>
      </c>
      <c r="I1510" s="1027">
        <f t="shared" si="200"/>
        <v>20</v>
      </c>
      <c r="J1510" s="860">
        <f t="shared" si="198"/>
        <v>10</v>
      </c>
      <c r="K1510" s="1028">
        <f t="shared" si="199"/>
        <v>0.5</v>
      </c>
    </row>
    <row r="1511" spans="1:11" ht="24.95" customHeight="1">
      <c r="A1511" s="1023" t="s">
        <v>2639</v>
      </c>
      <c r="B1511" s="1024" t="s">
        <v>2640</v>
      </c>
      <c r="C1511" s="1025">
        <v>5</v>
      </c>
      <c r="D1511" s="1025">
        <v>8</v>
      </c>
      <c r="E1511" s="1026">
        <f t="shared" si="196"/>
        <v>1.6</v>
      </c>
      <c r="F1511" s="1025"/>
      <c r="G1511" s="1025"/>
      <c r="H1511" s="1026" t="e">
        <f t="shared" si="197"/>
        <v>#DIV/0!</v>
      </c>
      <c r="I1511" s="1027">
        <f t="shared" si="200"/>
        <v>5</v>
      </c>
      <c r="J1511" s="860">
        <f t="shared" si="198"/>
        <v>8</v>
      </c>
      <c r="K1511" s="1028">
        <f t="shared" si="199"/>
        <v>1.6</v>
      </c>
    </row>
    <row r="1512" spans="1:11" ht="24.95" customHeight="1">
      <c r="A1512" s="1023" t="s">
        <v>2971</v>
      </c>
      <c r="B1512" s="1024" t="s">
        <v>3207</v>
      </c>
      <c r="C1512" s="1025">
        <v>3</v>
      </c>
      <c r="D1512" s="1025">
        <v>4</v>
      </c>
      <c r="E1512" s="1026">
        <f t="shared" si="196"/>
        <v>1.3333333333333333</v>
      </c>
      <c r="F1512" s="1025"/>
      <c r="G1512" s="1025"/>
      <c r="H1512" s="1026" t="e">
        <f t="shared" si="197"/>
        <v>#DIV/0!</v>
      </c>
      <c r="I1512" s="1027">
        <f t="shared" si="200"/>
        <v>3</v>
      </c>
      <c r="J1512" s="860">
        <f t="shared" si="198"/>
        <v>4</v>
      </c>
      <c r="K1512" s="1028">
        <f t="shared" si="199"/>
        <v>1.3333333333333333</v>
      </c>
    </row>
    <row r="1513" spans="1:11" ht="24.95" customHeight="1">
      <c r="A1513" s="1023" t="s">
        <v>2641</v>
      </c>
      <c r="B1513" s="1024" t="s">
        <v>3148</v>
      </c>
      <c r="C1513" s="1025">
        <v>1</v>
      </c>
      <c r="D1513" s="1025">
        <v>2</v>
      </c>
      <c r="E1513" s="1026">
        <f t="shared" si="196"/>
        <v>2</v>
      </c>
      <c r="F1513" s="1025"/>
      <c r="G1513" s="1025"/>
      <c r="H1513" s="1026" t="e">
        <f t="shared" si="197"/>
        <v>#DIV/0!</v>
      </c>
      <c r="I1513" s="1027">
        <f t="shared" si="200"/>
        <v>1</v>
      </c>
      <c r="J1513" s="860">
        <f t="shared" si="198"/>
        <v>2</v>
      </c>
      <c r="K1513" s="1028">
        <f t="shared" si="199"/>
        <v>2</v>
      </c>
    </row>
    <row r="1514" spans="1:11" ht="24.95" customHeight="1">
      <c r="A1514" s="1023" t="s">
        <v>2643</v>
      </c>
      <c r="B1514" s="1024" t="s">
        <v>3945</v>
      </c>
      <c r="C1514" s="1025">
        <v>1</v>
      </c>
      <c r="D1514" s="1025"/>
      <c r="E1514" s="1026">
        <f t="shared" si="196"/>
        <v>0</v>
      </c>
      <c r="F1514" s="1025"/>
      <c r="G1514" s="1025"/>
      <c r="H1514" s="1026" t="e">
        <f t="shared" si="197"/>
        <v>#DIV/0!</v>
      </c>
      <c r="I1514" s="1027">
        <f t="shared" si="200"/>
        <v>1</v>
      </c>
      <c r="J1514" s="860">
        <f t="shared" si="198"/>
        <v>0</v>
      </c>
      <c r="K1514" s="1028">
        <f t="shared" si="199"/>
        <v>0</v>
      </c>
    </row>
    <row r="1515" spans="1:11" ht="24.95" customHeight="1">
      <c r="A1515" s="1023" t="s">
        <v>2645</v>
      </c>
      <c r="B1515" s="1024" t="s">
        <v>3946</v>
      </c>
      <c r="C1515" s="1025">
        <v>130</v>
      </c>
      <c r="D1515" s="1025">
        <v>69</v>
      </c>
      <c r="E1515" s="1026">
        <f t="shared" si="196"/>
        <v>0.53076923076923077</v>
      </c>
      <c r="F1515" s="1025"/>
      <c r="G1515" s="1025"/>
      <c r="H1515" s="1026" t="e">
        <f t="shared" si="197"/>
        <v>#DIV/0!</v>
      </c>
      <c r="I1515" s="1027">
        <f t="shared" si="200"/>
        <v>130</v>
      </c>
      <c r="J1515" s="860">
        <f t="shared" si="198"/>
        <v>69</v>
      </c>
      <c r="K1515" s="1028">
        <f t="shared" si="199"/>
        <v>0.53076923076923077</v>
      </c>
    </row>
    <row r="1516" spans="1:11" ht="24.95" customHeight="1">
      <c r="A1516" s="1023" t="s">
        <v>2667</v>
      </c>
      <c r="B1516" s="1024" t="s">
        <v>3004</v>
      </c>
      <c r="C1516" s="1025">
        <v>40</v>
      </c>
      <c r="D1516" s="1025">
        <v>20</v>
      </c>
      <c r="E1516" s="1026">
        <f t="shared" si="196"/>
        <v>0.5</v>
      </c>
      <c r="F1516" s="1025"/>
      <c r="G1516" s="1025"/>
      <c r="H1516" s="1026" t="e">
        <f t="shared" si="197"/>
        <v>#DIV/0!</v>
      </c>
      <c r="I1516" s="1027">
        <f t="shared" si="200"/>
        <v>40</v>
      </c>
      <c r="J1516" s="860">
        <f t="shared" si="198"/>
        <v>20</v>
      </c>
      <c r="K1516" s="1028">
        <f t="shared" si="199"/>
        <v>0.5</v>
      </c>
    </row>
    <row r="1517" spans="1:11" ht="24.95" customHeight="1">
      <c r="A1517" s="1023"/>
      <c r="B1517" s="1024" t="s">
        <v>2</v>
      </c>
      <c r="C1517" s="1050">
        <f t="shared" ref="C1517:J1517" si="201">SUM(C1468:C1516)</f>
        <v>14223</v>
      </c>
      <c r="D1517" s="1050">
        <f t="shared" si="201"/>
        <v>7529</v>
      </c>
      <c r="E1517" s="1026">
        <f t="shared" si="196"/>
        <v>0.52935386346059199</v>
      </c>
      <c r="F1517" s="1050">
        <f t="shared" si="201"/>
        <v>10</v>
      </c>
      <c r="G1517" s="1050">
        <f t="shared" si="201"/>
        <v>0</v>
      </c>
      <c r="H1517" s="1026">
        <f t="shared" si="197"/>
        <v>0</v>
      </c>
      <c r="I1517" s="1050">
        <f t="shared" si="201"/>
        <v>14227</v>
      </c>
      <c r="J1517" s="1050">
        <f t="shared" si="201"/>
        <v>7529</v>
      </c>
      <c r="K1517" s="1028">
        <f t="shared" si="199"/>
        <v>0.52920503268433261</v>
      </c>
    </row>
    <row r="1518" spans="1:11" ht="24.95" customHeight="1">
      <c r="A1518" s="2108"/>
      <c r="B1518" s="2109"/>
      <c r="C1518" s="2109"/>
      <c r="D1518" s="2109"/>
      <c r="E1518" s="2109"/>
      <c r="F1518" s="2109"/>
      <c r="G1518" s="2109"/>
      <c r="H1518" s="2109"/>
      <c r="I1518" s="2109"/>
      <c r="J1518" s="2109"/>
      <c r="K1518" s="2110"/>
    </row>
    <row r="1519" spans="1:11" ht="24.95" customHeight="1">
      <c r="A1519" s="2111" t="s">
        <v>3947</v>
      </c>
      <c r="B1519" s="2111"/>
      <c r="C1519" s="2098"/>
      <c r="D1519" s="2099"/>
      <c r="E1519" s="2099"/>
      <c r="F1519" s="2099"/>
      <c r="G1519" s="2099"/>
      <c r="H1519" s="2099"/>
      <c r="I1519" s="2099"/>
      <c r="J1519" s="2099"/>
      <c r="K1519" s="2100"/>
    </row>
    <row r="1520" spans="1:11" ht="24.95" customHeight="1">
      <c r="A1520" s="2097" t="s">
        <v>3948</v>
      </c>
      <c r="B1520" s="2097"/>
      <c r="C1520" s="2098"/>
      <c r="D1520" s="2099"/>
      <c r="E1520" s="2099"/>
      <c r="F1520" s="2099"/>
      <c r="G1520" s="2099"/>
      <c r="H1520" s="2099"/>
      <c r="I1520" s="2099"/>
      <c r="J1520" s="2099"/>
      <c r="K1520" s="2100"/>
    </row>
    <row r="1521" spans="1:11" ht="24.95" customHeight="1">
      <c r="A1521" s="1036" t="s">
        <v>3949</v>
      </c>
      <c r="B1521" s="1051" t="s">
        <v>3825</v>
      </c>
      <c r="C1521" s="1025"/>
      <c r="D1521" s="1025"/>
      <c r="E1521" s="1026"/>
      <c r="F1521" s="1025">
        <v>5</v>
      </c>
      <c r="G1521" s="1025"/>
      <c r="H1521" s="1026">
        <f>+G1521/F1521</f>
        <v>0</v>
      </c>
      <c r="I1521" s="1027">
        <f t="shared" ref="I1521:I1584" si="202">+C1521+F1521</f>
        <v>5</v>
      </c>
      <c r="J1521" s="860">
        <f>+G1521</f>
        <v>0</v>
      </c>
      <c r="K1521" s="1028">
        <f>+J1521/I1521</f>
        <v>0</v>
      </c>
    </row>
    <row r="1522" spans="1:11" ht="24.95" customHeight="1">
      <c r="A1522" s="1023" t="s">
        <v>2381</v>
      </c>
      <c r="B1522" s="1049" t="s">
        <v>2382</v>
      </c>
      <c r="C1522" s="1025"/>
      <c r="D1522" s="1025"/>
      <c r="E1522" s="1026"/>
      <c r="F1522" s="1025">
        <v>5</v>
      </c>
      <c r="G1522" s="1025"/>
      <c r="H1522" s="1026">
        <f t="shared" ref="H1522:H1585" si="203">+G1522/F1522</f>
        <v>0</v>
      </c>
      <c r="I1522" s="1027">
        <f t="shared" si="202"/>
        <v>5</v>
      </c>
      <c r="J1522" s="860">
        <f t="shared" ref="J1522:J1585" si="204">+G1522</f>
        <v>0</v>
      </c>
      <c r="K1522" s="1028">
        <f t="shared" ref="K1522:K1585" si="205">+J1522/I1522</f>
        <v>0</v>
      </c>
    </row>
    <row r="1523" spans="1:11" ht="24.95" customHeight="1">
      <c r="A1523" s="1036" t="s">
        <v>3950</v>
      </c>
      <c r="B1523" s="1051" t="s">
        <v>3827</v>
      </c>
      <c r="C1523" s="1025"/>
      <c r="D1523" s="1025"/>
      <c r="E1523" s="1026"/>
      <c r="F1523" s="1025">
        <v>15</v>
      </c>
      <c r="G1523" s="1025">
        <v>3</v>
      </c>
      <c r="H1523" s="1026">
        <f t="shared" si="203"/>
        <v>0.2</v>
      </c>
      <c r="I1523" s="1027">
        <f t="shared" si="202"/>
        <v>15</v>
      </c>
      <c r="J1523" s="860">
        <f t="shared" si="204"/>
        <v>3</v>
      </c>
      <c r="K1523" s="1028">
        <f t="shared" si="205"/>
        <v>0.2</v>
      </c>
    </row>
    <row r="1524" spans="1:11" ht="24.95" customHeight="1">
      <c r="A1524" s="1036" t="s">
        <v>3951</v>
      </c>
      <c r="B1524" s="1051" t="s">
        <v>3952</v>
      </c>
      <c r="C1524" s="1025"/>
      <c r="D1524" s="1025"/>
      <c r="E1524" s="1026"/>
      <c r="F1524" s="1025">
        <v>0</v>
      </c>
      <c r="G1524" s="1025"/>
      <c r="H1524" s="1026" t="e">
        <f t="shared" si="203"/>
        <v>#DIV/0!</v>
      </c>
      <c r="I1524" s="1027">
        <f t="shared" si="202"/>
        <v>0</v>
      </c>
      <c r="J1524" s="860">
        <f t="shared" si="204"/>
        <v>0</v>
      </c>
      <c r="K1524" s="1028" t="e">
        <f t="shared" si="205"/>
        <v>#DIV/0!</v>
      </c>
    </row>
    <row r="1525" spans="1:11" ht="24.95" customHeight="1">
      <c r="A1525" s="1023" t="s">
        <v>2385</v>
      </c>
      <c r="B1525" s="1024" t="s">
        <v>2386</v>
      </c>
      <c r="C1525" s="1025"/>
      <c r="D1525" s="1025"/>
      <c r="E1525" s="1026"/>
      <c r="F1525" s="1025">
        <v>70</v>
      </c>
      <c r="G1525" s="1025">
        <v>60</v>
      </c>
      <c r="H1525" s="1026">
        <f t="shared" si="203"/>
        <v>0.8571428571428571</v>
      </c>
      <c r="I1525" s="1027">
        <f t="shared" si="202"/>
        <v>70</v>
      </c>
      <c r="J1525" s="860">
        <f t="shared" si="204"/>
        <v>60</v>
      </c>
      <c r="K1525" s="1028">
        <f t="shared" si="205"/>
        <v>0.8571428571428571</v>
      </c>
    </row>
    <row r="1526" spans="1:11" ht="24.95" customHeight="1">
      <c r="A1526" s="1029" t="s">
        <v>2387</v>
      </c>
      <c r="B1526" s="1052" t="s">
        <v>2388</v>
      </c>
      <c r="C1526" s="1025"/>
      <c r="D1526" s="1025"/>
      <c r="E1526" s="1026"/>
      <c r="F1526" s="1025">
        <v>13300</v>
      </c>
      <c r="G1526" s="1025">
        <v>7021</v>
      </c>
      <c r="H1526" s="1026">
        <f t="shared" si="203"/>
        <v>0.52789473684210531</v>
      </c>
      <c r="I1526" s="1027">
        <f t="shared" si="202"/>
        <v>13300</v>
      </c>
      <c r="J1526" s="860">
        <f t="shared" si="204"/>
        <v>7021</v>
      </c>
      <c r="K1526" s="1028">
        <f t="shared" si="205"/>
        <v>0.52789473684210531</v>
      </c>
    </row>
    <row r="1527" spans="1:11" ht="24.95" customHeight="1">
      <c r="A1527" s="1023" t="s">
        <v>3953</v>
      </c>
      <c r="B1527" s="1024" t="s">
        <v>3954</v>
      </c>
      <c r="C1527" s="1025"/>
      <c r="D1527" s="1025"/>
      <c r="E1527" s="1026"/>
      <c r="F1527" s="1025">
        <v>150</v>
      </c>
      <c r="G1527" s="1025">
        <v>6</v>
      </c>
      <c r="H1527" s="1026">
        <f t="shared" si="203"/>
        <v>0.04</v>
      </c>
      <c r="I1527" s="1027">
        <f t="shared" si="202"/>
        <v>150</v>
      </c>
      <c r="J1527" s="860">
        <f t="shared" si="204"/>
        <v>6</v>
      </c>
      <c r="K1527" s="1028">
        <f t="shared" si="205"/>
        <v>0.04</v>
      </c>
    </row>
    <row r="1528" spans="1:11" ht="24.95" customHeight="1">
      <c r="A1528" s="1023" t="s">
        <v>3927</v>
      </c>
      <c r="B1528" s="1024" t="s">
        <v>3928</v>
      </c>
      <c r="C1528" s="1025"/>
      <c r="D1528" s="1025"/>
      <c r="E1528" s="1026"/>
      <c r="F1528" s="1025">
        <v>70</v>
      </c>
      <c r="G1528" s="1025">
        <v>1</v>
      </c>
      <c r="H1528" s="1026">
        <f t="shared" si="203"/>
        <v>1.4285714285714285E-2</v>
      </c>
      <c r="I1528" s="1027">
        <f t="shared" si="202"/>
        <v>70</v>
      </c>
      <c r="J1528" s="860">
        <f t="shared" si="204"/>
        <v>1</v>
      </c>
      <c r="K1528" s="1028">
        <f t="shared" si="205"/>
        <v>1.4285714285714285E-2</v>
      </c>
    </row>
    <row r="1529" spans="1:11" ht="24.95" customHeight="1">
      <c r="A1529" s="1023" t="s">
        <v>3115</v>
      </c>
      <c r="B1529" s="1024" t="s">
        <v>3053</v>
      </c>
      <c r="C1529" s="1025"/>
      <c r="D1529" s="1025"/>
      <c r="E1529" s="1026"/>
      <c r="F1529" s="1025">
        <v>3050</v>
      </c>
      <c r="G1529" s="1025">
        <v>1424</v>
      </c>
      <c r="H1529" s="1026">
        <f t="shared" si="203"/>
        <v>0.46688524590163932</v>
      </c>
      <c r="I1529" s="1027">
        <f t="shared" si="202"/>
        <v>3050</v>
      </c>
      <c r="J1529" s="860">
        <f t="shared" si="204"/>
        <v>1424</v>
      </c>
      <c r="K1529" s="1028">
        <f t="shared" si="205"/>
        <v>0.46688524590163932</v>
      </c>
    </row>
    <row r="1530" spans="1:11" ht="24.95" customHeight="1">
      <c r="A1530" s="1023">
        <v>130207</v>
      </c>
      <c r="B1530" s="1053" t="s">
        <v>2390</v>
      </c>
      <c r="C1530" s="1025"/>
      <c r="D1530" s="1025"/>
      <c r="E1530" s="1026"/>
      <c r="F1530" s="1025">
        <v>80</v>
      </c>
      <c r="G1530" s="1025">
        <v>87</v>
      </c>
      <c r="H1530" s="1026">
        <f t="shared" si="203"/>
        <v>1.0874999999999999</v>
      </c>
      <c r="I1530" s="1027">
        <f t="shared" si="202"/>
        <v>80</v>
      </c>
      <c r="J1530" s="860">
        <f t="shared" si="204"/>
        <v>87</v>
      </c>
      <c r="K1530" s="1028">
        <f t="shared" si="205"/>
        <v>1.0874999999999999</v>
      </c>
    </row>
    <row r="1531" spans="1:11" ht="24.95" customHeight="1">
      <c r="A1531" s="1023" t="s">
        <v>2391</v>
      </c>
      <c r="B1531" s="1024" t="s">
        <v>2392</v>
      </c>
      <c r="C1531" s="1025"/>
      <c r="D1531" s="1025"/>
      <c r="E1531" s="1026"/>
      <c r="F1531" s="1025">
        <v>60</v>
      </c>
      <c r="G1531" s="1025">
        <v>29</v>
      </c>
      <c r="H1531" s="1026">
        <f t="shared" si="203"/>
        <v>0.48333333333333334</v>
      </c>
      <c r="I1531" s="1027">
        <f t="shared" si="202"/>
        <v>60</v>
      </c>
      <c r="J1531" s="860">
        <f t="shared" si="204"/>
        <v>29</v>
      </c>
      <c r="K1531" s="1028">
        <f t="shared" si="205"/>
        <v>0.48333333333333334</v>
      </c>
    </row>
    <row r="1532" spans="1:11" ht="24.95" customHeight="1">
      <c r="A1532" s="1023" t="s">
        <v>2393</v>
      </c>
      <c r="B1532" s="1024" t="s">
        <v>2394</v>
      </c>
      <c r="C1532" s="1025"/>
      <c r="D1532" s="1025"/>
      <c r="E1532" s="1026"/>
      <c r="F1532" s="1025">
        <v>30</v>
      </c>
      <c r="G1532" s="1025">
        <v>17</v>
      </c>
      <c r="H1532" s="1026">
        <f t="shared" si="203"/>
        <v>0.56666666666666665</v>
      </c>
      <c r="I1532" s="1027">
        <f t="shared" si="202"/>
        <v>30</v>
      </c>
      <c r="J1532" s="860">
        <f t="shared" si="204"/>
        <v>17</v>
      </c>
      <c r="K1532" s="1028">
        <f t="shared" si="205"/>
        <v>0.56666666666666665</v>
      </c>
    </row>
    <row r="1533" spans="1:11" ht="24.95" customHeight="1">
      <c r="A1533" s="1023" t="s">
        <v>2395</v>
      </c>
      <c r="B1533" s="1024" t="s">
        <v>2396</v>
      </c>
      <c r="C1533" s="1025"/>
      <c r="D1533" s="1025"/>
      <c r="E1533" s="1026"/>
      <c r="F1533" s="1025">
        <v>940</v>
      </c>
      <c r="G1533" s="1025">
        <v>466</v>
      </c>
      <c r="H1533" s="1026">
        <f t="shared" si="203"/>
        <v>0.49574468085106382</v>
      </c>
      <c r="I1533" s="1027">
        <f t="shared" si="202"/>
        <v>940</v>
      </c>
      <c r="J1533" s="860">
        <f t="shared" si="204"/>
        <v>466</v>
      </c>
      <c r="K1533" s="1028">
        <f t="shared" si="205"/>
        <v>0.49574468085106382</v>
      </c>
    </row>
    <row r="1534" spans="1:11" ht="24.95" customHeight="1">
      <c r="A1534" s="1023" t="s">
        <v>2397</v>
      </c>
      <c r="B1534" s="1024" t="s">
        <v>2398</v>
      </c>
      <c r="C1534" s="1025"/>
      <c r="D1534" s="1025"/>
      <c r="E1534" s="1026"/>
      <c r="F1534" s="1025">
        <v>510</v>
      </c>
      <c r="G1534" s="1025">
        <v>136</v>
      </c>
      <c r="H1534" s="1026">
        <f t="shared" si="203"/>
        <v>0.26666666666666666</v>
      </c>
      <c r="I1534" s="1027">
        <f t="shared" si="202"/>
        <v>510</v>
      </c>
      <c r="J1534" s="860">
        <f t="shared" si="204"/>
        <v>136</v>
      </c>
      <c r="K1534" s="1028">
        <f t="shared" si="205"/>
        <v>0.26666666666666666</v>
      </c>
    </row>
    <row r="1535" spans="1:11" ht="24.95" customHeight="1">
      <c r="A1535" s="1029" t="s">
        <v>3955</v>
      </c>
      <c r="B1535" s="1033" t="s">
        <v>3956</v>
      </c>
      <c r="C1535" s="1025"/>
      <c r="D1535" s="1025"/>
      <c r="E1535" s="1026"/>
      <c r="F1535" s="1025">
        <v>3</v>
      </c>
      <c r="G1535" s="1025"/>
      <c r="H1535" s="1026">
        <f t="shared" si="203"/>
        <v>0</v>
      </c>
      <c r="I1535" s="1027">
        <f t="shared" si="202"/>
        <v>3</v>
      </c>
      <c r="J1535" s="860">
        <f t="shared" si="204"/>
        <v>0</v>
      </c>
      <c r="K1535" s="1028">
        <f t="shared" si="205"/>
        <v>0</v>
      </c>
    </row>
    <row r="1536" spans="1:11" ht="24.95" customHeight="1">
      <c r="A1536" s="1023" t="s">
        <v>3833</v>
      </c>
      <c r="B1536" s="1024" t="s">
        <v>3834</v>
      </c>
      <c r="C1536" s="1025"/>
      <c r="D1536" s="1025"/>
      <c r="E1536" s="1026"/>
      <c r="F1536" s="1025">
        <v>55</v>
      </c>
      <c r="G1536" s="1025">
        <v>14</v>
      </c>
      <c r="H1536" s="1026">
        <f t="shared" si="203"/>
        <v>0.25454545454545452</v>
      </c>
      <c r="I1536" s="1027">
        <f t="shared" si="202"/>
        <v>55</v>
      </c>
      <c r="J1536" s="860">
        <f t="shared" si="204"/>
        <v>14</v>
      </c>
      <c r="K1536" s="1028">
        <f t="shared" si="205"/>
        <v>0.25454545454545452</v>
      </c>
    </row>
    <row r="1537" spans="1:11" ht="24.95" customHeight="1">
      <c r="A1537" s="1023" t="s">
        <v>3957</v>
      </c>
      <c r="B1537" s="1024" t="s">
        <v>3958</v>
      </c>
      <c r="C1537" s="1025"/>
      <c r="D1537" s="1025"/>
      <c r="E1537" s="1026"/>
      <c r="F1537" s="1025">
        <v>0</v>
      </c>
      <c r="G1537" s="1025"/>
      <c r="H1537" s="1026" t="e">
        <f t="shared" si="203"/>
        <v>#DIV/0!</v>
      </c>
      <c r="I1537" s="1027">
        <f t="shared" si="202"/>
        <v>0</v>
      </c>
      <c r="J1537" s="860">
        <f t="shared" si="204"/>
        <v>0</v>
      </c>
      <c r="K1537" s="1028" t="e">
        <f t="shared" si="205"/>
        <v>#DIV/0!</v>
      </c>
    </row>
    <row r="1538" spans="1:11" ht="24.95" customHeight="1">
      <c r="A1538" s="1029" t="s">
        <v>2401</v>
      </c>
      <c r="B1538" s="1054" t="s">
        <v>2402</v>
      </c>
      <c r="C1538" s="1025"/>
      <c r="D1538" s="1025"/>
      <c r="E1538" s="1026"/>
      <c r="F1538" s="1025">
        <v>12200</v>
      </c>
      <c r="G1538" s="1025">
        <v>6347</v>
      </c>
      <c r="H1538" s="1026">
        <f t="shared" si="203"/>
        <v>0.52024590163934425</v>
      </c>
      <c r="I1538" s="1027">
        <f t="shared" si="202"/>
        <v>12200</v>
      </c>
      <c r="J1538" s="860">
        <f t="shared" si="204"/>
        <v>6347</v>
      </c>
      <c r="K1538" s="1028">
        <f t="shared" si="205"/>
        <v>0.52024590163934425</v>
      </c>
    </row>
    <row r="1539" spans="1:11" ht="24.95" customHeight="1">
      <c r="A1539" s="1029" t="s">
        <v>2403</v>
      </c>
      <c r="B1539" s="1051" t="s">
        <v>2404</v>
      </c>
      <c r="C1539" s="1025"/>
      <c r="D1539" s="1025"/>
      <c r="E1539" s="1026"/>
      <c r="F1539" s="1025">
        <v>45</v>
      </c>
      <c r="G1539" s="1025">
        <v>72</v>
      </c>
      <c r="H1539" s="1026">
        <f t="shared" si="203"/>
        <v>1.6</v>
      </c>
      <c r="I1539" s="1027">
        <f t="shared" si="202"/>
        <v>45</v>
      </c>
      <c r="J1539" s="860">
        <f t="shared" si="204"/>
        <v>72</v>
      </c>
      <c r="K1539" s="1028">
        <f t="shared" si="205"/>
        <v>1.6</v>
      </c>
    </row>
    <row r="1540" spans="1:11" ht="24.95" customHeight="1">
      <c r="A1540" s="1029" t="s">
        <v>2413</v>
      </c>
      <c r="B1540" s="1033" t="s">
        <v>2414</v>
      </c>
      <c r="C1540" s="1025"/>
      <c r="D1540" s="1025"/>
      <c r="E1540" s="1026"/>
      <c r="F1540" s="1025">
        <v>4</v>
      </c>
      <c r="G1540" s="1025"/>
      <c r="H1540" s="1026">
        <f t="shared" si="203"/>
        <v>0</v>
      </c>
      <c r="I1540" s="1027">
        <f t="shared" si="202"/>
        <v>4</v>
      </c>
      <c r="J1540" s="860">
        <f t="shared" si="204"/>
        <v>0</v>
      </c>
      <c r="K1540" s="1028">
        <f t="shared" si="205"/>
        <v>0</v>
      </c>
    </row>
    <row r="1541" spans="1:11" ht="24.95" customHeight="1">
      <c r="A1541" s="1029">
        <v>260001</v>
      </c>
      <c r="B1541" s="1033" t="s">
        <v>3118</v>
      </c>
      <c r="C1541" s="1025"/>
      <c r="D1541" s="1025"/>
      <c r="E1541" s="1026"/>
      <c r="F1541" s="1025">
        <v>3</v>
      </c>
      <c r="G1541" s="1025"/>
      <c r="H1541" s="1026">
        <f t="shared" si="203"/>
        <v>0</v>
      </c>
      <c r="I1541" s="1027">
        <f t="shared" si="202"/>
        <v>3</v>
      </c>
      <c r="J1541" s="860">
        <f t="shared" si="204"/>
        <v>0</v>
      </c>
      <c r="K1541" s="1028">
        <f t="shared" si="205"/>
        <v>0</v>
      </c>
    </row>
    <row r="1542" spans="1:11" ht="24.95" customHeight="1">
      <c r="A1542" s="1029">
        <v>260002</v>
      </c>
      <c r="B1542" s="1033" t="s">
        <v>3120</v>
      </c>
      <c r="C1542" s="1025"/>
      <c r="D1542" s="1025"/>
      <c r="E1542" s="1026"/>
      <c r="F1542" s="1025">
        <v>3</v>
      </c>
      <c r="G1542" s="1025"/>
      <c r="H1542" s="1026">
        <f t="shared" si="203"/>
        <v>0</v>
      </c>
      <c r="I1542" s="1027">
        <f t="shared" si="202"/>
        <v>3</v>
      </c>
      <c r="J1542" s="860">
        <f t="shared" si="204"/>
        <v>0</v>
      </c>
      <c r="K1542" s="1028">
        <f t="shared" si="205"/>
        <v>0</v>
      </c>
    </row>
    <row r="1543" spans="1:11" ht="24.95" customHeight="1">
      <c r="A1543" s="1029">
        <v>260008</v>
      </c>
      <c r="B1543" s="1033" t="s">
        <v>3128</v>
      </c>
      <c r="C1543" s="1025"/>
      <c r="D1543" s="1025"/>
      <c r="E1543" s="1026"/>
      <c r="F1543" s="1025">
        <v>3</v>
      </c>
      <c r="G1543" s="1025">
        <v>1</v>
      </c>
      <c r="H1543" s="1026">
        <f t="shared" si="203"/>
        <v>0.33333333333333331</v>
      </c>
      <c r="I1543" s="1027">
        <f t="shared" si="202"/>
        <v>3</v>
      </c>
      <c r="J1543" s="860">
        <f t="shared" si="204"/>
        <v>1</v>
      </c>
      <c r="K1543" s="1028">
        <f t="shared" si="205"/>
        <v>0.33333333333333331</v>
      </c>
    </row>
    <row r="1544" spans="1:11" ht="24.95" customHeight="1">
      <c r="A1544" s="1055" t="s">
        <v>3959</v>
      </c>
      <c r="B1544" s="1053" t="s">
        <v>3960</v>
      </c>
      <c r="C1544" s="1025"/>
      <c r="D1544" s="1025"/>
      <c r="E1544" s="1026"/>
      <c r="F1544" s="1025">
        <v>20</v>
      </c>
      <c r="G1544" s="1025"/>
      <c r="H1544" s="1026">
        <f t="shared" si="203"/>
        <v>0</v>
      </c>
      <c r="I1544" s="1027">
        <f t="shared" si="202"/>
        <v>20</v>
      </c>
      <c r="J1544" s="860">
        <f t="shared" si="204"/>
        <v>0</v>
      </c>
      <c r="K1544" s="1028">
        <f t="shared" si="205"/>
        <v>0</v>
      </c>
    </row>
    <row r="1545" spans="1:11" ht="24.95" customHeight="1">
      <c r="A1545" s="1055" t="s">
        <v>3961</v>
      </c>
      <c r="B1545" s="1053" t="s">
        <v>3962</v>
      </c>
      <c r="C1545" s="1025"/>
      <c r="D1545" s="1025"/>
      <c r="E1545" s="1026"/>
      <c r="F1545" s="1025">
        <v>20</v>
      </c>
      <c r="G1545" s="1025"/>
      <c r="H1545" s="1026">
        <f t="shared" si="203"/>
        <v>0</v>
      </c>
      <c r="I1545" s="1027">
        <f t="shared" si="202"/>
        <v>20</v>
      </c>
      <c r="J1545" s="860">
        <f t="shared" si="204"/>
        <v>0</v>
      </c>
      <c r="K1545" s="1028">
        <f t="shared" si="205"/>
        <v>0</v>
      </c>
    </row>
    <row r="1546" spans="1:11" ht="24.95" customHeight="1">
      <c r="A1546" s="1056" t="s">
        <v>2808</v>
      </c>
      <c r="B1546" s="1053" t="s">
        <v>2809</v>
      </c>
      <c r="C1546" s="1025"/>
      <c r="D1546" s="1025"/>
      <c r="E1546" s="1026"/>
      <c r="F1546" s="1057">
        <v>15</v>
      </c>
      <c r="G1546" s="1057">
        <v>3</v>
      </c>
      <c r="H1546" s="1026">
        <f t="shared" si="203"/>
        <v>0.2</v>
      </c>
      <c r="I1546" s="1027">
        <f t="shared" si="202"/>
        <v>15</v>
      </c>
      <c r="J1546" s="860">
        <f t="shared" si="204"/>
        <v>3</v>
      </c>
      <c r="K1546" s="1028">
        <f t="shared" si="205"/>
        <v>0.2</v>
      </c>
    </row>
    <row r="1547" spans="1:11" ht="24.95" customHeight="1">
      <c r="A1547" s="1056" t="s">
        <v>3963</v>
      </c>
      <c r="B1547" s="1053" t="s">
        <v>3964</v>
      </c>
      <c r="C1547" s="1025"/>
      <c r="D1547" s="1025"/>
      <c r="E1547" s="1026"/>
      <c r="F1547" s="1057">
        <v>15</v>
      </c>
      <c r="G1547" s="1057"/>
      <c r="H1547" s="1026">
        <f t="shared" si="203"/>
        <v>0</v>
      </c>
      <c r="I1547" s="1027">
        <f t="shared" si="202"/>
        <v>15</v>
      </c>
      <c r="J1547" s="860">
        <f t="shared" si="204"/>
        <v>0</v>
      </c>
      <c r="K1547" s="1028">
        <f t="shared" si="205"/>
        <v>0</v>
      </c>
    </row>
    <row r="1548" spans="1:11" ht="24.95" customHeight="1">
      <c r="A1548" s="1029">
        <v>260095</v>
      </c>
      <c r="B1548" s="1058" t="s">
        <v>2811</v>
      </c>
      <c r="C1548" s="1025"/>
      <c r="D1548" s="1025"/>
      <c r="E1548" s="1026"/>
      <c r="F1548" s="1025">
        <v>5</v>
      </c>
      <c r="G1548" s="1025">
        <v>2</v>
      </c>
      <c r="H1548" s="1026">
        <f t="shared" si="203"/>
        <v>0.4</v>
      </c>
      <c r="I1548" s="1027">
        <f t="shared" si="202"/>
        <v>5</v>
      </c>
      <c r="J1548" s="860">
        <f t="shared" si="204"/>
        <v>2</v>
      </c>
      <c r="K1548" s="1028">
        <f t="shared" si="205"/>
        <v>0.4</v>
      </c>
    </row>
    <row r="1549" spans="1:11" ht="24.95" customHeight="1">
      <c r="A1549" s="1029">
        <v>260099</v>
      </c>
      <c r="B1549" s="1058" t="s">
        <v>3965</v>
      </c>
      <c r="C1549" s="1025"/>
      <c r="D1549" s="1025"/>
      <c r="E1549" s="1026"/>
      <c r="F1549" s="1025">
        <v>2</v>
      </c>
      <c r="G1549" s="1025"/>
      <c r="H1549" s="1026">
        <f t="shared" si="203"/>
        <v>0</v>
      </c>
      <c r="I1549" s="1027">
        <f t="shared" si="202"/>
        <v>2</v>
      </c>
      <c r="J1549" s="860">
        <f t="shared" si="204"/>
        <v>0</v>
      </c>
      <c r="K1549" s="1028">
        <f t="shared" si="205"/>
        <v>0</v>
      </c>
    </row>
    <row r="1550" spans="1:11" ht="24.95" customHeight="1">
      <c r="A1550" s="1056" t="s">
        <v>2812</v>
      </c>
      <c r="B1550" s="1053" t="s">
        <v>3020</v>
      </c>
      <c r="C1550" s="1025"/>
      <c r="D1550" s="1025"/>
      <c r="E1550" s="1026"/>
      <c r="F1550" s="1025">
        <v>5</v>
      </c>
      <c r="G1550" s="1025">
        <v>1</v>
      </c>
      <c r="H1550" s="1026">
        <f t="shared" si="203"/>
        <v>0.2</v>
      </c>
      <c r="I1550" s="1027">
        <f t="shared" si="202"/>
        <v>5</v>
      </c>
      <c r="J1550" s="860">
        <f t="shared" si="204"/>
        <v>1</v>
      </c>
      <c r="K1550" s="1028">
        <f t="shared" si="205"/>
        <v>0.2</v>
      </c>
    </row>
    <row r="1551" spans="1:11" ht="24.95" customHeight="1">
      <c r="A1551" s="1056" t="s">
        <v>2423</v>
      </c>
      <c r="B1551" s="1051" t="s">
        <v>2424</v>
      </c>
      <c r="C1551" s="1025"/>
      <c r="D1551" s="1025"/>
      <c r="E1551" s="1026"/>
      <c r="F1551" s="1025">
        <v>40</v>
      </c>
      <c r="G1551" s="1025">
        <v>68</v>
      </c>
      <c r="H1551" s="1026">
        <f t="shared" si="203"/>
        <v>1.7</v>
      </c>
      <c r="I1551" s="1027">
        <f t="shared" si="202"/>
        <v>40</v>
      </c>
      <c r="J1551" s="860">
        <f t="shared" si="204"/>
        <v>68</v>
      </c>
      <c r="K1551" s="1028">
        <f t="shared" si="205"/>
        <v>1.7</v>
      </c>
    </row>
    <row r="1552" spans="1:11" ht="24.95" customHeight="1">
      <c r="A1552" s="1029" t="s">
        <v>2821</v>
      </c>
      <c r="B1552" s="1033" t="s">
        <v>3887</v>
      </c>
      <c r="C1552" s="1025"/>
      <c r="D1552" s="1025"/>
      <c r="E1552" s="1026"/>
      <c r="F1552" s="1025">
        <v>15</v>
      </c>
      <c r="G1552" s="1025"/>
      <c r="H1552" s="1026">
        <f t="shared" si="203"/>
        <v>0</v>
      </c>
      <c r="I1552" s="1027">
        <f t="shared" si="202"/>
        <v>15</v>
      </c>
      <c r="J1552" s="860">
        <f t="shared" si="204"/>
        <v>0</v>
      </c>
      <c r="K1552" s="1028">
        <f t="shared" si="205"/>
        <v>0</v>
      </c>
    </row>
    <row r="1553" spans="1:11" ht="24.95" customHeight="1">
      <c r="A1553" s="1029">
        <v>310040</v>
      </c>
      <c r="B1553" s="1033" t="s">
        <v>3069</v>
      </c>
      <c r="C1553" s="1025"/>
      <c r="D1553" s="1025"/>
      <c r="E1553" s="1026"/>
      <c r="F1553" s="1025">
        <v>11</v>
      </c>
      <c r="G1553" s="1025"/>
      <c r="H1553" s="1026">
        <f t="shared" si="203"/>
        <v>0</v>
      </c>
      <c r="I1553" s="1027">
        <f t="shared" si="202"/>
        <v>11</v>
      </c>
      <c r="J1553" s="860">
        <f t="shared" si="204"/>
        <v>0</v>
      </c>
      <c r="K1553" s="1028">
        <f t="shared" si="205"/>
        <v>0</v>
      </c>
    </row>
    <row r="1554" spans="1:11" ht="24.95" customHeight="1">
      <c r="A1554" s="1029" t="s">
        <v>2429</v>
      </c>
      <c r="B1554" s="1033" t="s">
        <v>2430</v>
      </c>
      <c r="C1554" s="1025"/>
      <c r="D1554" s="1025"/>
      <c r="E1554" s="1026"/>
      <c r="F1554" s="1025">
        <v>410</v>
      </c>
      <c r="G1554" s="1025">
        <v>190</v>
      </c>
      <c r="H1554" s="1026">
        <f t="shared" si="203"/>
        <v>0.46341463414634149</v>
      </c>
      <c r="I1554" s="1027">
        <f t="shared" si="202"/>
        <v>410</v>
      </c>
      <c r="J1554" s="860">
        <f t="shared" si="204"/>
        <v>190</v>
      </c>
      <c r="K1554" s="1028">
        <f t="shared" si="205"/>
        <v>0.46341463414634149</v>
      </c>
    </row>
    <row r="1555" spans="1:11" ht="24.95" customHeight="1">
      <c r="A1555" s="1059" t="s">
        <v>2433</v>
      </c>
      <c r="B1555" s="1060" t="s">
        <v>2434</v>
      </c>
      <c r="C1555" s="1025"/>
      <c r="D1555" s="1025"/>
      <c r="E1555" s="1026"/>
      <c r="F1555" s="1025">
        <v>0</v>
      </c>
      <c r="G1555" s="1025"/>
      <c r="H1555" s="1026" t="e">
        <f t="shared" si="203"/>
        <v>#DIV/0!</v>
      </c>
      <c r="I1555" s="1027">
        <f t="shared" si="202"/>
        <v>0</v>
      </c>
      <c r="J1555" s="860">
        <f t="shared" si="204"/>
        <v>0</v>
      </c>
      <c r="K1555" s="1028" t="e">
        <f t="shared" si="205"/>
        <v>#DIV/0!</v>
      </c>
    </row>
    <row r="1556" spans="1:11" ht="24.95" customHeight="1">
      <c r="A1556" s="1023" t="s">
        <v>2435</v>
      </c>
      <c r="B1556" s="1061" t="s">
        <v>2436</v>
      </c>
      <c r="C1556" s="1025"/>
      <c r="D1556" s="1025"/>
      <c r="E1556" s="1026"/>
      <c r="F1556" s="1025">
        <v>1200</v>
      </c>
      <c r="G1556" s="1025">
        <v>507</v>
      </c>
      <c r="H1556" s="1026">
        <f t="shared" si="203"/>
        <v>0.42249999999999999</v>
      </c>
      <c r="I1556" s="1027">
        <f t="shared" si="202"/>
        <v>1200</v>
      </c>
      <c r="J1556" s="860">
        <f t="shared" si="204"/>
        <v>507</v>
      </c>
      <c r="K1556" s="1028">
        <f t="shared" si="205"/>
        <v>0.42249999999999999</v>
      </c>
    </row>
    <row r="1557" spans="1:11" ht="24.95" customHeight="1">
      <c r="A1557" s="1023" t="s">
        <v>2873</v>
      </c>
      <c r="B1557" s="1061" t="s">
        <v>2874</v>
      </c>
      <c r="C1557" s="1025"/>
      <c r="D1557" s="1025"/>
      <c r="E1557" s="1026"/>
      <c r="F1557" s="1025">
        <v>895</v>
      </c>
      <c r="G1557" s="1025">
        <v>2337</v>
      </c>
      <c r="H1557" s="1026">
        <f t="shared" si="203"/>
        <v>2.6111731843575421</v>
      </c>
      <c r="I1557" s="1027">
        <f t="shared" si="202"/>
        <v>895</v>
      </c>
      <c r="J1557" s="860">
        <f t="shared" si="204"/>
        <v>2337</v>
      </c>
      <c r="K1557" s="1028">
        <f t="shared" si="205"/>
        <v>2.6111731843575421</v>
      </c>
    </row>
    <row r="1558" spans="1:11" ht="24.95" customHeight="1">
      <c r="A1558" s="1023" t="s">
        <v>3966</v>
      </c>
      <c r="B1558" s="1061" t="s">
        <v>3967</v>
      </c>
      <c r="C1558" s="1025"/>
      <c r="D1558" s="1025"/>
      <c r="E1558" s="1026"/>
      <c r="F1558" s="1025">
        <v>5</v>
      </c>
      <c r="G1558" s="1025">
        <v>2</v>
      </c>
      <c r="H1558" s="1026">
        <f t="shared" si="203"/>
        <v>0.4</v>
      </c>
      <c r="I1558" s="1027">
        <f t="shared" si="202"/>
        <v>5</v>
      </c>
      <c r="J1558" s="860">
        <f t="shared" si="204"/>
        <v>2</v>
      </c>
      <c r="K1558" s="1028">
        <f t="shared" si="205"/>
        <v>0.4</v>
      </c>
    </row>
    <row r="1559" spans="1:11" ht="24.95" customHeight="1">
      <c r="A1559" s="1023" t="s">
        <v>2439</v>
      </c>
      <c r="B1559" s="1061" t="s">
        <v>2440</v>
      </c>
      <c r="C1559" s="1025"/>
      <c r="D1559" s="1025"/>
      <c r="E1559" s="1026"/>
      <c r="F1559" s="1025">
        <v>3165</v>
      </c>
      <c r="G1559" s="1025">
        <v>1550</v>
      </c>
      <c r="H1559" s="1026">
        <f t="shared" si="203"/>
        <v>0.48973143759873616</v>
      </c>
      <c r="I1559" s="1027">
        <f t="shared" si="202"/>
        <v>3165</v>
      </c>
      <c r="J1559" s="860">
        <f t="shared" si="204"/>
        <v>1550</v>
      </c>
      <c r="K1559" s="1028">
        <f t="shared" si="205"/>
        <v>0.48973143759873616</v>
      </c>
    </row>
    <row r="1560" spans="1:11" ht="24.95" customHeight="1">
      <c r="A1560" s="1023" t="s">
        <v>3192</v>
      </c>
      <c r="B1560" s="1061" t="s">
        <v>3193</v>
      </c>
      <c r="C1560" s="1025"/>
      <c r="D1560" s="1025"/>
      <c r="E1560" s="1026"/>
      <c r="F1560" s="1025">
        <v>4570</v>
      </c>
      <c r="G1560" s="1025">
        <v>1824</v>
      </c>
      <c r="H1560" s="1026">
        <f t="shared" si="203"/>
        <v>0.39912472647702407</v>
      </c>
      <c r="I1560" s="1027">
        <f t="shared" si="202"/>
        <v>4570</v>
      </c>
      <c r="J1560" s="860">
        <f t="shared" si="204"/>
        <v>1824</v>
      </c>
      <c r="K1560" s="1028">
        <f t="shared" si="205"/>
        <v>0.39912472647702407</v>
      </c>
    </row>
    <row r="1561" spans="1:11" ht="24.95" customHeight="1">
      <c r="A1561" s="1023" t="s">
        <v>3851</v>
      </c>
      <c r="B1561" s="1062" t="s">
        <v>2450</v>
      </c>
      <c r="C1561" s="1025"/>
      <c r="D1561" s="1025"/>
      <c r="E1561" s="1026"/>
      <c r="F1561" s="1025">
        <v>35</v>
      </c>
      <c r="G1561" s="1025"/>
      <c r="H1561" s="1026">
        <f t="shared" si="203"/>
        <v>0</v>
      </c>
      <c r="I1561" s="1027">
        <f t="shared" si="202"/>
        <v>35</v>
      </c>
      <c r="J1561" s="860">
        <f t="shared" si="204"/>
        <v>0</v>
      </c>
      <c r="K1561" s="1028">
        <f t="shared" si="205"/>
        <v>0</v>
      </c>
    </row>
    <row r="1562" spans="1:11" ht="24.95" customHeight="1">
      <c r="A1562" s="1023" t="s">
        <v>2453</v>
      </c>
      <c r="B1562" s="1061" t="s">
        <v>3706</v>
      </c>
      <c r="C1562" s="1025"/>
      <c r="D1562" s="1025"/>
      <c r="E1562" s="1026"/>
      <c r="F1562" s="1025">
        <v>5030</v>
      </c>
      <c r="G1562" s="1025">
        <v>2645</v>
      </c>
      <c r="H1562" s="1026">
        <f t="shared" si="203"/>
        <v>0.52584493041749503</v>
      </c>
      <c r="I1562" s="1027">
        <f t="shared" si="202"/>
        <v>5030</v>
      </c>
      <c r="J1562" s="860">
        <f t="shared" si="204"/>
        <v>2645</v>
      </c>
      <c r="K1562" s="1028">
        <f t="shared" si="205"/>
        <v>0.52584493041749503</v>
      </c>
    </row>
    <row r="1563" spans="1:11" ht="24.95" customHeight="1">
      <c r="A1563" s="1023" t="s">
        <v>2455</v>
      </c>
      <c r="B1563" s="1061" t="s">
        <v>2456</v>
      </c>
      <c r="C1563" s="1025"/>
      <c r="D1563" s="1025"/>
      <c r="E1563" s="1026"/>
      <c r="F1563" s="1025">
        <v>2560</v>
      </c>
      <c r="G1563" s="1025">
        <v>1627</v>
      </c>
      <c r="H1563" s="1026">
        <f t="shared" si="203"/>
        <v>0.63554687499999996</v>
      </c>
      <c r="I1563" s="1027">
        <f t="shared" si="202"/>
        <v>2560</v>
      </c>
      <c r="J1563" s="860">
        <f t="shared" si="204"/>
        <v>1627</v>
      </c>
      <c r="K1563" s="1028">
        <f t="shared" si="205"/>
        <v>0.63554687499999996</v>
      </c>
    </row>
    <row r="1564" spans="1:11" ht="24.95" customHeight="1">
      <c r="A1564" s="1023" t="s">
        <v>2459</v>
      </c>
      <c r="B1564" s="1061" t="s">
        <v>2460</v>
      </c>
      <c r="C1564" s="1025"/>
      <c r="D1564" s="1025"/>
      <c r="E1564" s="1026"/>
      <c r="F1564" s="1025">
        <v>145</v>
      </c>
      <c r="G1564" s="1025">
        <v>101</v>
      </c>
      <c r="H1564" s="1026">
        <f t="shared" si="203"/>
        <v>0.69655172413793098</v>
      </c>
      <c r="I1564" s="1027">
        <f t="shared" si="202"/>
        <v>145</v>
      </c>
      <c r="J1564" s="860">
        <f t="shared" si="204"/>
        <v>101</v>
      </c>
      <c r="K1564" s="1028">
        <f t="shared" si="205"/>
        <v>0.69655172413793098</v>
      </c>
    </row>
    <row r="1565" spans="1:11" ht="24.95" customHeight="1">
      <c r="A1565" s="1023" t="s">
        <v>2461</v>
      </c>
      <c r="B1565" s="1061" t="s">
        <v>2462</v>
      </c>
      <c r="C1565" s="1025"/>
      <c r="D1565" s="1025"/>
      <c r="E1565" s="1026"/>
      <c r="F1565" s="1025">
        <v>150</v>
      </c>
      <c r="G1565" s="1025">
        <v>105</v>
      </c>
      <c r="H1565" s="1026">
        <f t="shared" si="203"/>
        <v>0.7</v>
      </c>
      <c r="I1565" s="1027">
        <f t="shared" si="202"/>
        <v>150</v>
      </c>
      <c r="J1565" s="860">
        <f t="shared" si="204"/>
        <v>105</v>
      </c>
      <c r="K1565" s="1028">
        <f t="shared" si="205"/>
        <v>0.7</v>
      </c>
    </row>
    <row r="1566" spans="1:11" ht="24.95" customHeight="1">
      <c r="A1566" s="1023" t="s">
        <v>2463</v>
      </c>
      <c r="B1566" s="1061" t="s">
        <v>3968</v>
      </c>
      <c r="C1566" s="1025"/>
      <c r="D1566" s="1025"/>
      <c r="E1566" s="1026"/>
      <c r="F1566" s="1025">
        <v>5</v>
      </c>
      <c r="G1566" s="1025"/>
      <c r="H1566" s="1026">
        <f t="shared" si="203"/>
        <v>0</v>
      </c>
      <c r="I1566" s="1027">
        <f t="shared" si="202"/>
        <v>5</v>
      </c>
      <c r="J1566" s="860">
        <f t="shared" si="204"/>
        <v>0</v>
      </c>
      <c r="K1566" s="1028">
        <f t="shared" si="205"/>
        <v>0</v>
      </c>
    </row>
    <row r="1567" spans="1:11" ht="24.95" customHeight="1">
      <c r="A1567" s="1023" t="s">
        <v>2469</v>
      </c>
      <c r="B1567" s="1061" t="s">
        <v>2470</v>
      </c>
      <c r="C1567" s="1025"/>
      <c r="D1567" s="1025"/>
      <c r="E1567" s="1026"/>
      <c r="F1567" s="1025">
        <v>270</v>
      </c>
      <c r="G1567" s="1025">
        <v>260</v>
      </c>
      <c r="H1567" s="1026">
        <f t="shared" si="203"/>
        <v>0.96296296296296291</v>
      </c>
      <c r="I1567" s="1027">
        <f t="shared" si="202"/>
        <v>270</v>
      </c>
      <c r="J1567" s="860">
        <f t="shared" si="204"/>
        <v>260</v>
      </c>
      <c r="K1567" s="1028">
        <f t="shared" si="205"/>
        <v>0.96296296296296291</v>
      </c>
    </row>
    <row r="1568" spans="1:11" ht="24.95" customHeight="1">
      <c r="A1568" s="1023" t="s">
        <v>2904</v>
      </c>
      <c r="B1568" s="1061" t="s">
        <v>2905</v>
      </c>
      <c r="C1568" s="1025"/>
      <c r="D1568" s="1025"/>
      <c r="E1568" s="1026"/>
      <c r="F1568" s="1025">
        <v>3</v>
      </c>
      <c r="G1568" s="1025"/>
      <c r="H1568" s="1026">
        <f t="shared" si="203"/>
        <v>0</v>
      </c>
      <c r="I1568" s="1027">
        <f t="shared" si="202"/>
        <v>3</v>
      </c>
      <c r="J1568" s="860">
        <f t="shared" si="204"/>
        <v>0</v>
      </c>
      <c r="K1568" s="1028">
        <f t="shared" si="205"/>
        <v>0</v>
      </c>
    </row>
    <row r="1569" spans="1:11" ht="24.95" customHeight="1">
      <c r="A1569" s="1023" t="s">
        <v>2473</v>
      </c>
      <c r="B1569" s="1061" t="s">
        <v>2474</v>
      </c>
      <c r="C1569" s="1025"/>
      <c r="D1569" s="1025"/>
      <c r="E1569" s="1026"/>
      <c r="F1569" s="1025">
        <v>3</v>
      </c>
      <c r="G1569" s="1025"/>
      <c r="H1569" s="1026">
        <f t="shared" si="203"/>
        <v>0</v>
      </c>
      <c r="I1569" s="1027">
        <f t="shared" si="202"/>
        <v>3</v>
      </c>
      <c r="J1569" s="860">
        <f t="shared" si="204"/>
        <v>0</v>
      </c>
      <c r="K1569" s="1028">
        <f t="shared" si="205"/>
        <v>0</v>
      </c>
    </row>
    <row r="1570" spans="1:11" ht="24.95" customHeight="1">
      <c r="A1570" s="1029" t="s">
        <v>2475</v>
      </c>
      <c r="B1570" s="1062" t="s">
        <v>2476</v>
      </c>
      <c r="C1570" s="1025"/>
      <c r="D1570" s="1025"/>
      <c r="E1570" s="1026"/>
      <c r="F1570" s="1025">
        <v>70</v>
      </c>
      <c r="G1570" s="1025">
        <v>52</v>
      </c>
      <c r="H1570" s="1026">
        <f t="shared" si="203"/>
        <v>0.74285714285714288</v>
      </c>
      <c r="I1570" s="1027">
        <f t="shared" si="202"/>
        <v>70</v>
      </c>
      <c r="J1570" s="860">
        <f t="shared" si="204"/>
        <v>52</v>
      </c>
      <c r="K1570" s="1028">
        <f t="shared" si="205"/>
        <v>0.74285714285714288</v>
      </c>
    </row>
    <row r="1571" spans="1:11" ht="24.95" customHeight="1">
      <c r="A1571" s="1023" t="s">
        <v>3969</v>
      </c>
      <c r="B1571" s="1033" t="s">
        <v>3970</v>
      </c>
      <c r="C1571" s="1025"/>
      <c r="D1571" s="1025"/>
      <c r="E1571" s="1026"/>
      <c r="F1571" s="1025">
        <v>0</v>
      </c>
      <c r="G1571" s="1025"/>
      <c r="H1571" s="1026" t="e">
        <f t="shared" si="203"/>
        <v>#DIV/0!</v>
      </c>
      <c r="I1571" s="1027">
        <f t="shared" si="202"/>
        <v>0</v>
      </c>
      <c r="J1571" s="860">
        <f t="shared" si="204"/>
        <v>0</v>
      </c>
      <c r="K1571" s="1028" t="e">
        <f t="shared" si="205"/>
        <v>#DIV/0!</v>
      </c>
    </row>
    <row r="1572" spans="1:11" ht="24.95" customHeight="1">
      <c r="A1572" s="1023" t="s">
        <v>3135</v>
      </c>
      <c r="B1572" s="1024" t="s">
        <v>3971</v>
      </c>
      <c r="C1572" s="1025"/>
      <c r="D1572" s="1025"/>
      <c r="E1572" s="1026"/>
      <c r="F1572" s="1025">
        <v>200</v>
      </c>
      <c r="G1572" s="1025">
        <v>321</v>
      </c>
      <c r="H1572" s="1026">
        <f t="shared" si="203"/>
        <v>1.605</v>
      </c>
      <c r="I1572" s="1027">
        <f t="shared" si="202"/>
        <v>200</v>
      </c>
      <c r="J1572" s="860">
        <f t="shared" si="204"/>
        <v>321</v>
      </c>
      <c r="K1572" s="1028">
        <f t="shared" si="205"/>
        <v>1.605</v>
      </c>
    </row>
    <row r="1573" spans="1:11" ht="24.95" customHeight="1">
      <c r="A1573" s="1023" t="s">
        <v>2921</v>
      </c>
      <c r="B1573" s="1024" t="s">
        <v>3972</v>
      </c>
      <c r="C1573" s="1025"/>
      <c r="D1573" s="1025"/>
      <c r="E1573" s="1026"/>
      <c r="F1573" s="1025">
        <v>270</v>
      </c>
      <c r="G1573" s="1025">
        <v>126</v>
      </c>
      <c r="H1573" s="1026">
        <f t="shared" si="203"/>
        <v>0.46666666666666667</v>
      </c>
      <c r="I1573" s="1027">
        <f t="shared" si="202"/>
        <v>270</v>
      </c>
      <c r="J1573" s="860">
        <f t="shared" si="204"/>
        <v>126</v>
      </c>
      <c r="K1573" s="1028">
        <f t="shared" si="205"/>
        <v>0.46666666666666667</v>
      </c>
    </row>
    <row r="1574" spans="1:11" ht="24.95" customHeight="1">
      <c r="A1574" s="1023" t="s">
        <v>2946</v>
      </c>
      <c r="B1574" s="1024" t="s">
        <v>2947</v>
      </c>
      <c r="C1574" s="1025"/>
      <c r="D1574" s="1025"/>
      <c r="E1574" s="1026"/>
      <c r="F1574" s="1025">
        <v>60</v>
      </c>
      <c r="G1574" s="1025">
        <v>3</v>
      </c>
      <c r="H1574" s="1026">
        <f t="shared" si="203"/>
        <v>0.05</v>
      </c>
      <c r="I1574" s="1027">
        <f t="shared" si="202"/>
        <v>60</v>
      </c>
      <c r="J1574" s="860">
        <f t="shared" si="204"/>
        <v>3</v>
      </c>
      <c r="K1574" s="1028">
        <f t="shared" si="205"/>
        <v>0.05</v>
      </c>
    </row>
    <row r="1575" spans="1:11" ht="24.95" customHeight="1">
      <c r="A1575" s="1023" t="s">
        <v>3853</v>
      </c>
      <c r="B1575" s="1024" t="s">
        <v>2950</v>
      </c>
      <c r="C1575" s="1025"/>
      <c r="D1575" s="1025"/>
      <c r="E1575" s="1026"/>
      <c r="F1575" s="1025">
        <v>4</v>
      </c>
      <c r="G1575" s="1025"/>
      <c r="H1575" s="1026">
        <f t="shared" si="203"/>
        <v>0</v>
      </c>
      <c r="I1575" s="1027">
        <f t="shared" si="202"/>
        <v>4</v>
      </c>
      <c r="J1575" s="860">
        <f t="shared" si="204"/>
        <v>0</v>
      </c>
      <c r="K1575" s="1028">
        <f t="shared" si="205"/>
        <v>0</v>
      </c>
    </row>
    <row r="1576" spans="1:11" ht="24.95" customHeight="1">
      <c r="A1576" s="1029" t="s">
        <v>2615</v>
      </c>
      <c r="B1576" s="1033" t="s">
        <v>3200</v>
      </c>
      <c r="C1576" s="1025"/>
      <c r="D1576" s="1025"/>
      <c r="E1576" s="1026"/>
      <c r="F1576" s="1025">
        <v>20500</v>
      </c>
      <c r="G1576" s="1025">
        <f>12129+300</f>
        <v>12429</v>
      </c>
      <c r="H1576" s="1026">
        <f t="shared" si="203"/>
        <v>0.60629268292682925</v>
      </c>
      <c r="I1576" s="1027">
        <f t="shared" si="202"/>
        <v>20500</v>
      </c>
      <c r="J1576" s="860">
        <f t="shared" si="204"/>
        <v>12429</v>
      </c>
      <c r="K1576" s="1028">
        <f t="shared" si="205"/>
        <v>0.60629268292682925</v>
      </c>
    </row>
    <row r="1577" spans="1:11" ht="24.95" customHeight="1">
      <c r="A1577" s="1023" t="s">
        <v>3201</v>
      </c>
      <c r="B1577" s="1033" t="s">
        <v>3202</v>
      </c>
      <c r="C1577" s="1025"/>
      <c r="D1577" s="1025"/>
      <c r="E1577" s="1026"/>
      <c r="F1577" s="1025">
        <v>4</v>
      </c>
      <c r="G1577" s="1025"/>
      <c r="H1577" s="1026">
        <f t="shared" si="203"/>
        <v>0</v>
      </c>
      <c r="I1577" s="1027">
        <f t="shared" si="202"/>
        <v>4</v>
      </c>
      <c r="J1577" s="860">
        <f t="shared" si="204"/>
        <v>0</v>
      </c>
      <c r="K1577" s="1028">
        <f t="shared" si="205"/>
        <v>0</v>
      </c>
    </row>
    <row r="1578" spans="1:11" ht="24.95" customHeight="1">
      <c r="A1578" s="1023" t="s">
        <v>2327</v>
      </c>
      <c r="B1578" s="1033" t="s">
        <v>2328</v>
      </c>
      <c r="C1578" s="1025"/>
      <c r="D1578" s="1025"/>
      <c r="E1578" s="1026"/>
      <c r="F1578" s="1025">
        <v>20</v>
      </c>
      <c r="G1578" s="1025">
        <v>9</v>
      </c>
      <c r="H1578" s="1026">
        <f t="shared" si="203"/>
        <v>0.45</v>
      </c>
      <c r="I1578" s="1027">
        <f t="shared" si="202"/>
        <v>20</v>
      </c>
      <c r="J1578" s="860">
        <f t="shared" si="204"/>
        <v>9</v>
      </c>
      <c r="K1578" s="1028">
        <f t="shared" si="205"/>
        <v>0.45</v>
      </c>
    </row>
    <row r="1579" spans="1:11" ht="24.95" customHeight="1">
      <c r="A1579" s="1029" t="s">
        <v>2176</v>
      </c>
      <c r="B1579" s="1033" t="s">
        <v>2177</v>
      </c>
      <c r="C1579" s="1025"/>
      <c r="D1579" s="1025"/>
      <c r="E1579" s="1026"/>
      <c r="F1579" s="1025">
        <v>120</v>
      </c>
      <c r="G1579" s="1025">
        <v>28</v>
      </c>
      <c r="H1579" s="1026">
        <f t="shared" si="203"/>
        <v>0.23333333333333334</v>
      </c>
      <c r="I1579" s="1027">
        <f t="shared" si="202"/>
        <v>120</v>
      </c>
      <c r="J1579" s="860">
        <f t="shared" si="204"/>
        <v>28</v>
      </c>
      <c r="K1579" s="1028">
        <f t="shared" si="205"/>
        <v>0.23333333333333334</v>
      </c>
    </row>
    <row r="1580" spans="1:11" ht="24.95" customHeight="1">
      <c r="A1580" s="1029" t="s">
        <v>3203</v>
      </c>
      <c r="B1580" s="1033" t="s">
        <v>3973</v>
      </c>
      <c r="C1580" s="1025"/>
      <c r="D1580" s="1025"/>
      <c r="E1580" s="1026"/>
      <c r="F1580" s="1025">
        <v>2</v>
      </c>
      <c r="G1580" s="1025"/>
      <c r="H1580" s="1026">
        <f t="shared" si="203"/>
        <v>0</v>
      </c>
      <c r="I1580" s="1027">
        <f t="shared" si="202"/>
        <v>2</v>
      </c>
      <c r="J1580" s="860">
        <f t="shared" si="204"/>
        <v>0</v>
      </c>
      <c r="K1580" s="1028">
        <f t="shared" si="205"/>
        <v>0</v>
      </c>
    </row>
    <row r="1581" spans="1:11" ht="24.95" customHeight="1">
      <c r="A1581" s="1029" t="s">
        <v>3046</v>
      </c>
      <c r="B1581" s="1033" t="s">
        <v>3047</v>
      </c>
      <c r="C1581" s="1025"/>
      <c r="D1581" s="1025"/>
      <c r="E1581" s="1026"/>
      <c r="F1581" s="1025">
        <v>4</v>
      </c>
      <c r="G1581" s="1025"/>
      <c r="H1581" s="1026">
        <f t="shared" si="203"/>
        <v>0</v>
      </c>
      <c r="I1581" s="1027">
        <f t="shared" si="202"/>
        <v>4</v>
      </c>
      <c r="J1581" s="860">
        <f t="shared" si="204"/>
        <v>0</v>
      </c>
      <c r="K1581" s="1028">
        <f t="shared" si="205"/>
        <v>0</v>
      </c>
    </row>
    <row r="1582" spans="1:11" ht="24.95" customHeight="1">
      <c r="A1582" s="1023" t="s">
        <v>2620</v>
      </c>
      <c r="B1582" s="1033" t="s">
        <v>2621</v>
      </c>
      <c r="C1582" s="1025"/>
      <c r="D1582" s="1025"/>
      <c r="E1582" s="1026"/>
      <c r="F1582" s="1025">
        <v>1370</v>
      </c>
      <c r="G1582" s="1025">
        <v>683</v>
      </c>
      <c r="H1582" s="1026">
        <f t="shared" si="203"/>
        <v>0.49854014598540147</v>
      </c>
      <c r="I1582" s="1027">
        <f t="shared" si="202"/>
        <v>1370</v>
      </c>
      <c r="J1582" s="860">
        <f t="shared" si="204"/>
        <v>683</v>
      </c>
      <c r="K1582" s="1028">
        <f t="shared" si="205"/>
        <v>0.49854014598540147</v>
      </c>
    </row>
    <row r="1583" spans="1:11" ht="24.95" customHeight="1">
      <c r="A1583" s="1029" t="s">
        <v>2329</v>
      </c>
      <c r="B1583" s="1033" t="s">
        <v>2961</v>
      </c>
      <c r="C1583" s="1025"/>
      <c r="D1583" s="1025"/>
      <c r="E1583" s="1026"/>
      <c r="F1583" s="1025">
        <v>15</v>
      </c>
      <c r="G1583" s="1025"/>
      <c r="H1583" s="1026">
        <f t="shared" si="203"/>
        <v>0</v>
      </c>
      <c r="I1583" s="1027">
        <f t="shared" si="202"/>
        <v>15</v>
      </c>
      <c r="J1583" s="860">
        <f t="shared" si="204"/>
        <v>0</v>
      </c>
      <c r="K1583" s="1028">
        <f t="shared" si="205"/>
        <v>0</v>
      </c>
    </row>
    <row r="1584" spans="1:11" ht="24.95" customHeight="1">
      <c r="A1584" s="1029" t="s">
        <v>2622</v>
      </c>
      <c r="B1584" s="1033" t="s">
        <v>2962</v>
      </c>
      <c r="C1584" s="1025"/>
      <c r="D1584" s="1025"/>
      <c r="E1584" s="1026"/>
      <c r="F1584" s="1025">
        <v>185</v>
      </c>
      <c r="G1584" s="1025">
        <v>102</v>
      </c>
      <c r="H1584" s="1026">
        <f t="shared" si="203"/>
        <v>0.55135135135135138</v>
      </c>
      <c r="I1584" s="1027">
        <f t="shared" si="202"/>
        <v>185</v>
      </c>
      <c r="J1584" s="860">
        <f t="shared" si="204"/>
        <v>102</v>
      </c>
      <c r="K1584" s="1028">
        <f t="shared" si="205"/>
        <v>0.55135135135135138</v>
      </c>
    </row>
    <row r="1585" spans="1:11" ht="24.95" customHeight="1">
      <c r="A1585" s="1029" t="s">
        <v>2624</v>
      </c>
      <c r="B1585" s="1033" t="s">
        <v>2330</v>
      </c>
      <c r="C1585" s="1025"/>
      <c r="D1585" s="1025"/>
      <c r="E1585" s="1026"/>
      <c r="F1585" s="1025">
        <v>16900</v>
      </c>
      <c r="G1585" s="1025">
        <v>8249</v>
      </c>
      <c r="H1585" s="1026">
        <f t="shared" si="203"/>
        <v>0.48810650887573964</v>
      </c>
      <c r="I1585" s="1027">
        <f t="shared" ref="I1585:I1606" si="206">+C1585+F1585</f>
        <v>16900</v>
      </c>
      <c r="J1585" s="860">
        <f t="shared" si="204"/>
        <v>8249</v>
      </c>
      <c r="K1585" s="1028">
        <f t="shared" si="205"/>
        <v>0.48810650887573964</v>
      </c>
    </row>
    <row r="1586" spans="1:11" ht="24.95" customHeight="1">
      <c r="A1586" s="1029" t="s">
        <v>2331</v>
      </c>
      <c r="B1586" s="1033" t="s">
        <v>2332</v>
      </c>
      <c r="C1586" s="1025"/>
      <c r="D1586" s="1025"/>
      <c r="E1586" s="1026"/>
      <c r="F1586" s="1025">
        <v>1900</v>
      </c>
      <c r="G1586" s="1025">
        <v>1060</v>
      </c>
      <c r="H1586" s="1026">
        <f t="shared" ref="H1586:H1607" si="207">+G1586/F1586</f>
        <v>0.55789473684210522</v>
      </c>
      <c r="I1586" s="1027">
        <f t="shared" si="206"/>
        <v>1900</v>
      </c>
      <c r="J1586" s="860">
        <f t="shared" ref="J1586:J1606" si="208">+G1586</f>
        <v>1060</v>
      </c>
      <c r="K1586" s="1028">
        <f t="shared" ref="K1586:K1607" si="209">+J1586/I1586</f>
        <v>0.55789473684210522</v>
      </c>
    </row>
    <row r="1587" spans="1:11" ht="24.95" customHeight="1">
      <c r="A1587" s="1029" t="s">
        <v>2627</v>
      </c>
      <c r="B1587" s="1033" t="s">
        <v>2628</v>
      </c>
      <c r="C1587" s="1025"/>
      <c r="D1587" s="1025"/>
      <c r="E1587" s="1026"/>
      <c r="F1587" s="1025">
        <v>1800</v>
      </c>
      <c r="G1587" s="1025">
        <v>1084</v>
      </c>
      <c r="H1587" s="1026">
        <f t="shared" si="207"/>
        <v>0.60222222222222221</v>
      </c>
      <c r="I1587" s="1027">
        <f t="shared" si="206"/>
        <v>1800</v>
      </c>
      <c r="J1587" s="860">
        <f t="shared" si="208"/>
        <v>1084</v>
      </c>
      <c r="K1587" s="1028">
        <f t="shared" si="209"/>
        <v>0.60222222222222221</v>
      </c>
    </row>
    <row r="1588" spans="1:11" ht="24.95" customHeight="1">
      <c r="A1588" s="1029" t="s">
        <v>2629</v>
      </c>
      <c r="B1588" s="1052" t="s">
        <v>2630</v>
      </c>
      <c r="C1588" s="1025"/>
      <c r="D1588" s="1025"/>
      <c r="E1588" s="1026"/>
      <c r="F1588" s="1025">
        <v>5300</v>
      </c>
      <c r="G1588" s="1025">
        <v>2749</v>
      </c>
      <c r="H1588" s="1026">
        <f t="shared" si="207"/>
        <v>0.5186792452830189</v>
      </c>
      <c r="I1588" s="1027">
        <f t="shared" si="206"/>
        <v>5300</v>
      </c>
      <c r="J1588" s="860">
        <f t="shared" si="208"/>
        <v>2749</v>
      </c>
      <c r="K1588" s="1028">
        <f t="shared" si="209"/>
        <v>0.5186792452830189</v>
      </c>
    </row>
    <row r="1589" spans="1:11" ht="24.95" customHeight="1">
      <c r="A1589" s="1029" t="s">
        <v>2631</v>
      </c>
      <c r="B1589" s="1052" t="s">
        <v>2632</v>
      </c>
      <c r="C1589" s="1025"/>
      <c r="D1589" s="1025"/>
      <c r="E1589" s="1026"/>
      <c r="F1589" s="1025">
        <v>7920</v>
      </c>
      <c r="G1589" s="1025">
        <v>5222</v>
      </c>
      <c r="H1589" s="1026">
        <f t="shared" si="207"/>
        <v>0.65934343434343434</v>
      </c>
      <c r="I1589" s="1027">
        <f t="shared" si="206"/>
        <v>7920</v>
      </c>
      <c r="J1589" s="860">
        <f t="shared" si="208"/>
        <v>5222</v>
      </c>
      <c r="K1589" s="1028">
        <f t="shared" si="209"/>
        <v>0.65934343434343434</v>
      </c>
    </row>
    <row r="1590" spans="1:11" ht="24.95" customHeight="1">
      <c r="A1590" s="1029" t="s">
        <v>2178</v>
      </c>
      <c r="B1590" s="1052" t="s">
        <v>2179</v>
      </c>
      <c r="C1590" s="1025"/>
      <c r="D1590" s="1025"/>
      <c r="E1590" s="1026"/>
      <c r="F1590" s="1025">
        <v>15700</v>
      </c>
      <c r="G1590" s="1025">
        <v>11981</v>
      </c>
      <c r="H1590" s="1026">
        <f t="shared" si="207"/>
        <v>0.76312101910828023</v>
      </c>
      <c r="I1590" s="1027">
        <f t="shared" si="206"/>
        <v>15700</v>
      </c>
      <c r="J1590" s="860">
        <f t="shared" si="208"/>
        <v>11981</v>
      </c>
      <c r="K1590" s="1028">
        <f t="shared" si="209"/>
        <v>0.76312101910828023</v>
      </c>
    </row>
    <row r="1591" spans="1:11" ht="24.95" customHeight="1">
      <c r="A1591" s="1029" t="s">
        <v>2633</v>
      </c>
      <c r="B1591" s="1052" t="s">
        <v>2965</v>
      </c>
      <c r="C1591" s="1025"/>
      <c r="D1591" s="1025"/>
      <c r="E1591" s="1026"/>
      <c r="F1591" s="1025">
        <v>13400</v>
      </c>
      <c r="G1591" s="1025">
        <v>6844</v>
      </c>
      <c r="H1591" s="1026">
        <f t="shared" si="207"/>
        <v>0.51074626865671646</v>
      </c>
      <c r="I1591" s="1027">
        <f t="shared" si="206"/>
        <v>13400</v>
      </c>
      <c r="J1591" s="860">
        <f t="shared" si="208"/>
        <v>6844</v>
      </c>
      <c r="K1591" s="1028">
        <f t="shared" si="209"/>
        <v>0.51074626865671646</v>
      </c>
    </row>
    <row r="1592" spans="1:11" ht="24.95" customHeight="1">
      <c r="A1592" s="1029" t="s">
        <v>2637</v>
      </c>
      <c r="B1592" s="1052" t="s">
        <v>2638</v>
      </c>
      <c r="C1592" s="1025"/>
      <c r="D1592" s="1025"/>
      <c r="E1592" s="1026"/>
      <c r="F1592" s="1025">
        <v>9300</v>
      </c>
      <c r="G1592" s="1025">
        <v>5088</v>
      </c>
      <c r="H1592" s="1026">
        <f t="shared" si="207"/>
        <v>0.54709677419354841</v>
      </c>
      <c r="I1592" s="1027">
        <f t="shared" si="206"/>
        <v>9300</v>
      </c>
      <c r="J1592" s="860">
        <f t="shared" si="208"/>
        <v>5088</v>
      </c>
      <c r="K1592" s="1028">
        <f t="shared" si="209"/>
        <v>0.54709677419354841</v>
      </c>
    </row>
    <row r="1593" spans="1:11" ht="24.95" customHeight="1">
      <c r="A1593" s="1029" t="s">
        <v>2639</v>
      </c>
      <c r="B1593" s="1052" t="s">
        <v>2640</v>
      </c>
      <c r="C1593" s="1025"/>
      <c r="D1593" s="1025"/>
      <c r="E1593" s="1026"/>
      <c r="F1593" s="1025">
        <v>150</v>
      </c>
      <c r="G1593" s="1025">
        <v>71</v>
      </c>
      <c r="H1593" s="1026">
        <f t="shared" si="207"/>
        <v>0.47333333333333333</v>
      </c>
      <c r="I1593" s="1027">
        <f t="shared" si="206"/>
        <v>150</v>
      </c>
      <c r="J1593" s="860">
        <f t="shared" si="208"/>
        <v>71</v>
      </c>
      <c r="K1593" s="1028">
        <f t="shared" si="209"/>
        <v>0.47333333333333333</v>
      </c>
    </row>
    <row r="1594" spans="1:11" ht="24.95" customHeight="1">
      <c r="A1594" s="1029" t="s">
        <v>2641</v>
      </c>
      <c r="B1594" s="1033" t="s">
        <v>3148</v>
      </c>
      <c r="C1594" s="1025"/>
      <c r="D1594" s="1025"/>
      <c r="E1594" s="1026"/>
      <c r="F1594" s="1025">
        <v>60</v>
      </c>
      <c r="G1594" s="1025">
        <v>6</v>
      </c>
      <c r="H1594" s="1026">
        <f t="shared" si="207"/>
        <v>0.1</v>
      </c>
      <c r="I1594" s="1027">
        <f t="shared" si="206"/>
        <v>60</v>
      </c>
      <c r="J1594" s="860">
        <f t="shared" si="208"/>
        <v>6</v>
      </c>
      <c r="K1594" s="1028">
        <f t="shared" si="209"/>
        <v>0.1</v>
      </c>
    </row>
    <row r="1595" spans="1:11" ht="24.95" customHeight="1">
      <c r="A1595" s="1029" t="s">
        <v>2643</v>
      </c>
      <c r="B1595" s="1033" t="s">
        <v>2973</v>
      </c>
      <c r="C1595" s="1025"/>
      <c r="D1595" s="1025"/>
      <c r="E1595" s="1026"/>
      <c r="F1595" s="1025">
        <v>620</v>
      </c>
      <c r="G1595" s="1025">
        <v>810</v>
      </c>
      <c r="H1595" s="1026">
        <f t="shared" si="207"/>
        <v>1.3064516129032258</v>
      </c>
      <c r="I1595" s="1027">
        <f t="shared" si="206"/>
        <v>620</v>
      </c>
      <c r="J1595" s="860">
        <f t="shared" si="208"/>
        <v>810</v>
      </c>
      <c r="K1595" s="1028">
        <f t="shared" si="209"/>
        <v>1.3064516129032258</v>
      </c>
    </row>
    <row r="1596" spans="1:11" ht="24.95" customHeight="1">
      <c r="A1596" s="1029" t="s">
        <v>3761</v>
      </c>
      <c r="B1596" s="1033" t="s">
        <v>3762</v>
      </c>
      <c r="C1596" s="1025"/>
      <c r="D1596" s="1025"/>
      <c r="E1596" s="1026"/>
      <c r="F1596" s="1025">
        <v>4</v>
      </c>
      <c r="G1596" s="1025"/>
      <c r="H1596" s="1026">
        <f t="shared" si="207"/>
        <v>0</v>
      </c>
      <c r="I1596" s="1027">
        <f t="shared" si="206"/>
        <v>4</v>
      </c>
      <c r="J1596" s="860">
        <f t="shared" si="208"/>
        <v>0</v>
      </c>
      <c r="K1596" s="1028">
        <f t="shared" si="209"/>
        <v>0</v>
      </c>
    </row>
    <row r="1597" spans="1:11" ht="24.95" customHeight="1">
      <c r="A1597" s="1029" t="s">
        <v>2976</v>
      </c>
      <c r="B1597" s="1033" t="s">
        <v>2977</v>
      </c>
      <c r="C1597" s="1025"/>
      <c r="D1597" s="1025"/>
      <c r="E1597" s="1026"/>
      <c r="F1597" s="1025">
        <v>25</v>
      </c>
      <c r="G1597" s="1025">
        <v>220</v>
      </c>
      <c r="H1597" s="1026">
        <f t="shared" si="207"/>
        <v>8.8000000000000007</v>
      </c>
      <c r="I1597" s="1027">
        <f t="shared" si="206"/>
        <v>25</v>
      </c>
      <c r="J1597" s="860">
        <f t="shared" si="208"/>
        <v>220</v>
      </c>
      <c r="K1597" s="1028">
        <f t="shared" si="209"/>
        <v>8.8000000000000007</v>
      </c>
    </row>
    <row r="1598" spans="1:11" ht="24.95" customHeight="1">
      <c r="A1598" s="1029" t="s">
        <v>3049</v>
      </c>
      <c r="B1598" s="1033" t="s">
        <v>3050</v>
      </c>
      <c r="C1598" s="1025"/>
      <c r="D1598" s="1025"/>
      <c r="E1598" s="1026"/>
      <c r="F1598" s="1025">
        <v>5</v>
      </c>
      <c r="G1598" s="1025">
        <v>2</v>
      </c>
      <c r="H1598" s="1026">
        <f t="shared" si="207"/>
        <v>0.4</v>
      </c>
      <c r="I1598" s="1027">
        <f t="shared" si="206"/>
        <v>5</v>
      </c>
      <c r="J1598" s="860">
        <f t="shared" si="208"/>
        <v>2</v>
      </c>
      <c r="K1598" s="1028">
        <f t="shared" si="209"/>
        <v>0.4</v>
      </c>
    </row>
    <row r="1599" spans="1:11" ht="24.95" customHeight="1">
      <c r="A1599" s="1029" t="s">
        <v>2645</v>
      </c>
      <c r="B1599" s="1052" t="s">
        <v>2646</v>
      </c>
      <c r="C1599" s="1025"/>
      <c r="D1599" s="1025"/>
      <c r="E1599" s="1026"/>
      <c r="F1599" s="1025">
        <v>63700</v>
      </c>
      <c r="G1599" s="1025">
        <v>40082</v>
      </c>
      <c r="H1599" s="1026">
        <f t="shared" si="207"/>
        <v>0.62923076923076926</v>
      </c>
      <c r="I1599" s="1027">
        <f t="shared" si="206"/>
        <v>63700</v>
      </c>
      <c r="J1599" s="860">
        <f t="shared" si="208"/>
        <v>40082</v>
      </c>
      <c r="K1599" s="1028">
        <f t="shared" si="209"/>
        <v>0.62923076923076926</v>
      </c>
    </row>
    <row r="1600" spans="1:11" ht="24.95" customHeight="1">
      <c r="A1600" s="1029" t="s">
        <v>2649</v>
      </c>
      <c r="B1600" s="1052" t="s">
        <v>2650</v>
      </c>
      <c r="C1600" s="1025"/>
      <c r="D1600" s="1025"/>
      <c r="E1600" s="1026"/>
      <c r="F1600" s="1025">
        <v>400</v>
      </c>
      <c r="G1600" s="1025">
        <f>157+9</f>
        <v>166</v>
      </c>
      <c r="H1600" s="1026">
        <f t="shared" si="207"/>
        <v>0.41499999999999998</v>
      </c>
      <c r="I1600" s="1027">
        <f t="shared" si="206"/>
        <v>400</v>
      </c>
      <c r="J1600" s="860">
        <f t="shared" si="208"/>
        <v>166</v>
      </c>
      <c r="K1600" s="1028">
        <f t="shared" si="209"/>
        <v>0.41499999999999998</v>
      </c>
    </row>
    <row r="1601" spans="1:11" ht="24.95" customHeight="1">
      <c r="A1601" s="1029" t="s">
        <v>3974</v>
      </c>
      <c r="B1601" s="1033" t="s">
        <v>3975</v>
      </c>
      <c r="C1601" s="1025"/>
      <c r="D1601" s="1025"/>
      <c r="E1601" s="1026"/>
      <c r="F1601" s="1025">
        <v>0</v>
      </c>
      <c r="G1601" s="1025"/>
      <c r="H1601" s="1026" t="e">
        <f t="shared" si="207"/>
        <v>#DIV/0!</v>
      </c>
      <c r="I1601" s="1027">
        <f t="shared" si="206"/>
        <v>0</v>
      </c>
      <c r="J1601" s="860">
        <f t="shared" si="208"/>
        <v>0</v>
      </c>
      <c r="K1601" s="1028" t="e">
        <f t="shared" si="209"/>
        <v>#DIV/0!</v>
      </c>
    </row>
    <row r="1602" spans="1:11" ht="24.95" customHeight="1">
      <c r="A1602" s="1029" t="s">
        <v>2657</v>
      </c>
      <c r="B1602" s="1063" t="s">
        <v>2658</v>
      </c>
      <c r="C1602" s="1025"/>
      <c r="D1602" s="1025"/>
      <c r="E1602" s="1026"/>
      <c r="F1602" s="1025">
        <v>105</v>
      </c>
      <c r="G1602" s="1025">
        <v>78</v>
      </c>
      <c r="H1602" s="1026">
        <f t="shared" si="207"/>
        <v>0.74285714285714288</v>
      </c>
      <c r="I1602" s="1027">
        <f t="shared" si="206"/>
        <v>105</v>
      </c>
      <c r="J1602" s="860">
        <f t="shared" si="208"/>
        <v>78</v>
      </c>
      <c r="K1602" s="1028">
        <f t="shared" si="209"/>
        <v>0.74285714285714288</v>
      </c>
    </row>
    <row r="1603" spans="1:11" ht="24.95" customHeight="1">
      <c r="A1603" s="1023" t="s">
        <v>2667</v>
      </c>
      <c r="B1603" s="1035" t="s">
        <v>3976</v>
      </c>
      <c r="C1603" s="1025"/>
      <c r="D1603" s="1025"/>
      <c r="E1603" s="1026"/>
      <c r="F1603" s="1025">
        <v>2100</v>
      </c>
      <c r="G1603" s="1025">
        <v>1161</v>
      </c>
      <c r="H1603" s="1026">
        <f t="shared" si="207"/>
        <v>0.55285714285714282</v>
      </c>
      <c r="I1603" s="1027">
        <f t="shared" si="206"/>
        <v>2100</v>
      </c>
      <c r="J1603" s="860">
        <f t="shared" si="208"/>
        <v>1161</v>
      </c>
      <c r="K1603" s="1028">
        <f t="shared" si="209"/>
        <v>0.55285714285714282</v>
      </c>
    </row>
    <row r="1604" spans="1:11" ht="24.95" customHeight="1">
      <c r="A1604" s="1023" t="s">
        <v>2669</v>
      </c>
      <c r="B1604" s="1024" t="s">
        <v>3977</v>
      </c>
      <c r="C1604" s="1025"/>
      <c r="D1604" s="1025"/>
      <c r="E1604" s="1026"/>
      <c r="F1604" s="1025">
        <v>380</v>
      </c>
      <c r="G1604" s="1025">
        <v>286</v>
      </c>
      <c r="H1604" s="1026">
        <f t="shared" si="207"/>
        <v>0.75263157894736843</v>
      </c>
      <c r="I1604" s="1027">
        <f t="shared" si="206"/>
        <v>380</v>
      </c>
      <c r="J1604" s="860">
        <f t="shared" si="208"/>
        <v>286</v>
      </c>
      <c r="K1604" s="1028">
        <f t="shared" si="209"/>
        <v>0.75263157894736843</v>
      </c>
    </row>
    <row r="1605" spans="1:11" ht="24.95" customHeight="1">
      <c r="A1605" s="1059" t="s">
        <v>2808</v>
      </c>
      <c r="B1605" s="1064" t="s">
        <v>2809</v>
      </c>
      <c r="C1605" s="1025"/>
      <c r="D1605" s="1025"/>
      <c r="E1605" s="1026"/>
      <c r="F1605" s="1025">
        <v>0</v>
      </c>
      <c r="G1605" s="1025"/>
      <c r="H1605" s="1026" t="e">
        <f t="shared" si="207"/>
        <v>#DIV/0!</v>
      </c>
      <c r="I1605" s="1027">
        <f t="shared" si="206"/>
        <v>0</v>
      </c>
      <c r="J1605" s="860">
        <f t="shared" si="208"/>
        <v>0</v>
      </c>
      <c r="K1605" s="1028" t="e">
        <f t="shared" si="209"/>
        <v>#DIV/0!</v>
      </c>
    </row>
    <row r="1606" spans="1:11" ht="24.95" customHeight="1">
      <c r="A1606" s="1029" t="s">
        <v>2439</v>
      </c>
      <c r="B1606" s="1052" t="s">
        <v>2440</v>
      </c>
      <c r="C1606" s="1050"/>
      <c r="D1606" s="1050"/>
      <c r="E1606" s="1065"/>
      <c r="F1606" s="1030">
        <v>0</v>
      </c>
      <c r="G1606" s="1030"/>
      <c r="H1606" s="1026" t="e">
        <f t="shared" si="207"/>
        <v>#DIV/0!</v>
      </c>
      <c r="I1606" s="1027">
        <f t="shared" si="206"/>
        <v>0</v>
      </c>
      <c r="J1606" s="860">
        <f t="shared" si="208"/>
        <v>0</v>
      </c>
      <c r="K1606" s="1028" t="e">
        <f t="shared" si="209"/>
        <v>#DIV/0!</v>
      </c>
    </row>
    <row r="1607" spans="1:11" ht="24.95" customHeight="1">
      <c r="A1607" s="1029"/>
      <c r="B1607" s="1052" t="s">
        <v>2</v>
      </c>
      <c r="C1607" s="1050">
        <f t="shared" ref="C1607:J1607" si="210">SUM(C1521:C1606)</f>
        <v>0</v>
      </c>
      <c r="D1607" s="1050">
        <f t="shared" si="210"/>
        <v>0</v>
      </c>
      <c r="E1607" s="1065"/>
      <c r="F1607" s="1050">
        <f t="shared" si="210"/>
        <v>211788</v>
      </c>
      <c r="G1607" s="1050">
        <f t="shared" si="210"/>
        <v>125818</v>
      </c>
      <c r="H1607" s="1026">
        <f t="shared" si="207"/>
        <v>0.59407520728275443</v>
      </c>
      <c r="I1607" s="1050">
        <f t="shared" si="210"/>
        <v>211788</v>
      </c>
      <c r="J1607" s="1050">
        <f t="shared" si="210"/>
        <v>125818</v>
      </c>
      <c r="K1607" s="1028">
        <f t="shared" si="209"/>
        <v>0.59407520728275443</v>
      </c>
    </row>
    <row r="1608" spans="1:11" ht="24.95" customHeight="1">
      <c r="A1608" s="1023"/>
      <c r="B1608" s="1034" t="s">
        <v>3978</v>
      </c>
      <c r="C1608" s="2101"/>
      <c r="D1608" s="2102"/>
      <c r="E1608" s="2102"/>
      <c r="F1608" s="2102"/>
      <c r="G1608" s="2102"/>
      <c r="H1608" s="2102"/>
      <c r="I1608" s="2102"/>
      <c r="J1608" s="2102"/>
      <c r="K1608" s="2103"/>
    </row>
    <row r="1609" spans="1:11" ht="24.95" customHeight="1">
      <c r="A1609" s="1029" t="s">
        <v>2387</v>
      </c>
      <c r="B1609" s="1033" t="s">
        <v>2388</v>
      </c>
      <c r="C1609" s="1025"/>
      <c r="D1609" s="1025"/>
      <c r="E1609" s="1026"/>
      <c r="F1609" s="1025">
        <v>10</v>
      </c>
      <c r="G1609" s="1025"/>
      <c r="H1609" s="1026">
        <f>+G1609/F1609</f>
        <v>0</v>
      </c>
      <c r="I1609" s="1027">
        <f>+C1609+F1609</f>
        <v>10</v>
      </c>
      <c r="J1609" s="860">
        <f>+G1609</f>
        <v>0</v>
      </c>
      <c r="K1609" s="1028">
        <f>+J1609/I1609</f>
        <v>0</v>
      </c>
    </row>
    <row r="1610" spans="1:11" ht="24.95" customHeight="1">
      <c r="A1610" s="1029" t="s">
        <v>3179</v>
      </c>
      <c r="B1610" s="1033" t="s">
        <v>2396</v>
      </c>
      <c r="C1610" s="1025"/>
      <c r="D1610" s="1025"/>
      <c r="E1610" s="1026"/>
      <c r="F1610" s="1025">
        <v>2</v>
      </c>
      <c r="G1610" s="1025"/>
      <c r="H1610" s="1026">
        <f t="shared" ref="H1610:H1643" si="211">+G1610/F1610</f>
        <v>0</v>
      </c>
      <c r="I1610" s="1027"/>
      <c r="J1610" s="860">
        <f t="shared" ref="J1610:J1637" si="212">+G1610</f>
        <v>0</v>
      </c>
      <c r="K1610" s="1028" t="e">
        <f t="shared" ref="K1610:K1643" si="213">+J1610/I1610</f>
        <v>#DIV/0!</v>
      </c>
    </row>
    <row r="1611" spans="1:11" ht="24.95" customHeight="1">
      <c r="A1611" s="1029" t="s">
        <v>3979</v>
      </c>
      <c r="B1611" s="1033" t="s">
        <v>3928</v>
      </c>
      <c r="C1611" s="1025"/>
      <c r="D1611" s="1025"/>
      <c r="E1611" s="1026"/>
      <c r="F1611" s="1025">
        <v>1</v>
      </c>
      <c r="G1611" s="1025"/>
      <c r="H1611" s="1026">
        <f t="shared" si="211"/>
        <v>0</v>
      </c>
      <c r="I1611" s="1027"/>
      <c r="J1611" s="860">
        <f t="shared" si="212"/>
        <v>0</v>
      </c>
      <c r="K1611" s="1028" t="e">
        <f t="shared" si="213"/>
        <v>#DIV/0!</v>
      </c>
    </row>
    <row r="1612" spans="1:11" ht="24.95" customHeight="1">
      <c r="A1612" s="1029" t="s">
        <v>3833</v>
      </c>
      <c r="B1612" s="1033" t="s">
        <v>3980</v>
      </c>
      <c r="C1612" s="1025"/>
      <c r="D1612" s="1025"/>
      <c r="E1612" s="1026"/>
      <c r="F1612" s="1025">
        <v>3</v>
      </c>
      <c r="G1612" s="1025"/>
      <c r="H1612" s="1026">
        <f t="shared" si="211"/>
        <v>0</v>
      </c>
      <c r="I1612" s="1027">
        <f>+C1612+F1612</f>
        <v>3</v>
      </c>
      <c r="J1612" s="860">
        <f t="shared" si="212"/>
        <v>0</v>
      </c>
      <c r="K1612" s="1028">
        <f t="shared" si="213"/>
        <v>0</v>
      </c>
    </row>
    <row r="1613" spans="1:11" ht="24.95" customHeight="1">
      <c r="A1613" s="1029" t="s">
        <v>2401</v>
      </c>
      <c r="B1613" s="1051" t="s">
        <v>2402</v>
      </c>
      <c r="C1613" s="1025"/>
      <c r="D1613" s="1025"/>
      <c r="E1613" s="1026"/>
      <c r="F1613" s="1025">
        <v>210</v>
      </c>
      <c r="G1613" s="1025">
        <v>52</v>
      </c>
      <c r="H1613" s="1026">
        <f t="shared" si="211"/>
        <v>0.24761904761904763</v>
      </c>
      <c r="I1613" s="1027">
        <f>+C1613+F1613</f>
        <v>210</v>
      </c>
      <c r="J1613" s="860">
        <f t="shared" si="212"/>
        <v>52</v>
      </c>
      <c r="K1613" s="1028">
        <f t="shared" si="213"/>
        <v>0.24761904761904763</v>
      </c>
    </row>
    <row r="1614" spans="1:11" ht="24.95" customHeight="1">
      <c r="A1614" s="1029" t="s">
        <v>2403</v>
      </c>
      <c r="B1614" s="1051" t="s">
        <v>2404</v>
      </c>
      <c r="C1614" s="1025"/>
      <c r="D1614" s="1025"/>
      <c r="E1614" s="1026"/>
      <c r="F1614" s="1025">
        <v>10</v>
      </c>
      <c r="G1614" s="1025"/>
      <c r="H1614" s="1026">
        <f t="shared" si="211"/>
        <v>0</v>
      </c>
      <c r="I1614" s="1027">
        <f>+C1614+F1614</f>
        <v>10</v>
      </c>
      <c r="J1614" s="860">
        <f t="shared" si="212"/>
        <v>0</v>
      </c>
      <c r="K1614" s="1028">
        <f t="shared" si="213"/>
        <v>0</v>
      </c>
    </row>
    <row r="1615" spans="1:11" ht="24.95" customHeight="1">
      <c r="A1615" s="1029" t="s">
        <v>2821</v>
      </c>
      <c r="B1615" s="1051" t="s">
        <v>3887</v>
      </c>
      <c r="C1615" s="1025"/>
      <c r="D1615" s="1025"/>
      <c r="E1615" s="1026"/>
      <c r="F1615" s="1025"/>
      <c r="G1615" s="1025"/>
      <c r="H1615" s="1026" t="e">
        <f t="shared" si="211"/>
        <v>#DIV/0!</v>
      </c>
      <c r="I1615" s="1027"/>
      <c r="J1615" s="860">
        <f t="shared" si="212"/>
        <v>0</v>
      </c>
      <c r="K1615" s="1028" t="e">
        <f t="shared" si="213"/>
        <v>#DIV/0!</v>
      </c>
    </row>
    <row r="1616" spans="1:11" ht="24.95" customHeight="1">
      <c r="A1616" s="1029" t="s">
        <v>2429</v>
      </c>
      <c r="B1616" s="1051" t="s">
        <v>2430</v>
      </c>
      <c r="C1616" s="1025"/>
      <c r="D1616" s="1025"/>
      <c r="E1616" s="1026"/>
      <c r="F1616" s="1025">
        <v>1</v>
      </c>
      <c r="G1616" s="1025"/>
      <c r="H1616" s="1026">
        <f t="shared" si="211"/>
        <v>0</v>
      </c>
      <c r="I1616" s="1027">
        <f t="shared" ref="I1616:I1637" si="214">+C1616+F1616</f>
        <v>1</v>
      </c>
      <c r="J1616" s="860">
        <f t="shared" si="212"/>
        <v>0</v>
      </c>
      <c r="K1616" s="1028">
        <f t="shared" si="213"/>
        <v>0</v>
      </c>
    </row>
    <row r="1617" spans="1:11" ht="24.95" customHeight="1">
      <c r="A1617" s="1023" t="s">
        <v>2873</v>
      </c>
      <c r="B1617" s="1033" t="s">
        <v>2874</v>
      </c>
      <c r="C1617" s="1025"/>
      <c r="D1617" s="1025"/>
      <c r="E1617" s="1026"/>
      <c r="F1617" s="1025">
        <v>8</v>
      </c>
      <c r="G1617" s="1025">
        <v>9</v>
      </c>
      <c r="H1617" s="1026">
        <f t="shared" si="211"/>
        <v>1.125</v>
      </c>
      <c r="I1617" s="1027">
        <f t="shared" si="214"/>
        <v>8</v>
      </c>
      <c r="J1617" s="860">
        <f t="shared" si="212"/>
        <v>9</v>
      </c>
      <c r="K1617" s="1028">
        <f t="shared" si="213"/>
        <v>1.125</v>
      </c>
    </row>
    <row r="1618" spans="1:11" ht="24.95" customHeight="1">
      <c r="A1618" s="1023" t="s">
        <v>2439</v>
      </c>
      <c r="B1618" s="1033" t="s">
        <v>2440</v>
      </c>
      <c r="C1618" s="1025"/>
      <c r="D1618" s="1025"/>
      <c r="E1618" s="1026"/>
      <c r="F1618" s="1025">
        <v>60</v>
      </c>
      <c r="G1618" s="1025">
        <v>11</v>
      </c>
      <c r="H1618" s="1026">
        <f t="shared" si="211"/>
        <v>0.18333333333333332</v>
      </c>
      <c r="I1618" s="1027">
        <f t="shared" si="214"/>
        <v>60</v>
      </c>
      <c r="J1618" s="860">
        <f t="shared" si="212"/>
        <v>11</v>
      </c>
      <c r="K1618" s="1028">
        <f t="shared" si="213"/>
        <v>0.18333333333333332</v>
      </c>
    </row>
    <row r="1619" spans="1:11" ht="24.95" customHeight="1">
      <c r="A1619" s="1023" t="s">
        <v>2453</v>
      </c>
      <c r="B1619" s="1024" t="s">
        <v>3706</v>
      </c>
      <c r="C1619" s="1025"/>
      <c r="D1619" s="1025"/>
      <c r="E1619" s="1026"/>
      <c r="F1619" s="1025">
        <v>10</v>
      </c>
      <c r="G1619" s="1025">
        <v>2</v>
      </c>
      <c r="H1619" s="1026">
        <f t="shared" si="211"/>
        <v>0.2</v>
      </c>
      <c r="I1619" s="1027">
        <f t="shared" si="214"/>
        <v>10</v>
      </c>
      <c r="J1619" s="860">
        <f t="shared" si="212"/>
        <v>2</v>
      </c>
      <c r="K1619" s="1028">
        <f t="shared" si="213"/>
        <v>0.2</v>
      </c>
    </row>
    <row r="1620" spans="1:11" ht="24.95" customHeight="1">
      <c r="A1620" s="1023" t="s">
        <v>2455</v>
      </c>
      <c r="B1620" s="1024" t="s">
        <v>2456</v>
      </c>
      <c r="C1620" s="1025"/>
      <c r="D1620" s="1025"/>
      <c r="E1620" s="1026"/>
      <c r="F1620" s="1025">
        <v>2</v>
      </c>
      <c r="G1620" s="1025"/>
      <c r="H1620" s="1026">
        <f t="shared" si="211"/>
        <v>0</v>
      </c>
      <c r="I1620" s="1027">
        <f t="shared" si="214"/>
        <v>2</v>
      </c>
      <c r="J1620" s="860">
        <f t="shared" si="212"/>
        <v>0</v>
      </c>
      <c r="K1620" s="1028">
        <f t="shared" si="213"/>
        <v>0</v>
      </c>
    </row>
    <row r="1621" spans="1:11" ht="24.95" customHeight="1">
      <c r="A1621" s="1029" t="s">
        <v>2327</v>
      </c>
      <c r="B1621" s="1033" t="s">
        <v>2328</v>
      </c>
      <c r="C1621" s="1025"/>
      <c r="D1621" s="1025"/>
      <c r="E1621" s="1026"/>
      <c r="F1621" s="1025">
        <v>5</v>
      </c>
      <c r="G1621" s="1025"/>
      <c r="H1621" s="1026">
        <f t="shared" si="211"/>
        <v>0</v>
      </c>
      <c r="I1621" s="1027">
        <f t="shared" si="214"/>
        <v>5</v>
      </c>
      <c r="J1621" s="860">
        <f t="shared" si="212"/>
        <v>0</v>
      </c>
      <c r="K1621" s="1028">
        <f t="shared" si="213"/>
        <v>0</v>
      </c>
    </row>
    <row r="1622" spans="1:11" ht="24.95" customHeight="1">
      <c r="A1622" s="1029" t="s">
        <v>2176</v>
      </c>
      <c r="B1622" s="1033" t="s">
        <v>2177</v>
      </c>
      <c r="C1622" s="1025"/>
      <c r="D1622" s="1025"/>
      <c r="E1622" s="1026"/>
      <c r="F1622" s="1025">
        <v>5</v>
      </c>
      <c r="G1622" s="1025">
        <v>7</v>
      </c>
      <c r="H1622" s="1026">
        <f t="shared" si="211"/>
        <v>1.4</v>
      </c>
      <c r="I1622" s="1027">
        <f t="shared" si="214"/>
        <v>5</v>
      </c>
      <c r="J1622" s="860">
        <f t="shared" si="212"/>
        <v>7</v>
      </c>
      <c r="K1622" s="1028">
        <f t="shared" si="213"/>
        <v>1.4</v>
      </c>
    </row>
    <row r="1623" spans="1:11" ht="24.95" customHeight="1">
      <c r="A1623" s="1023" t="s">
        <v>2620</v>
      </c>
      <c r="B1623" s="1033" t="s">
        <v>2621</v>
      </c>
      <c r="C1623" s="1025"/>
      <c r="D1623" s="1025"/>
      <c r="E1623" s="1026"/>
      <c r="F1623" s="1025">
        <v>70</v>
      </c>
      <c r="G1623" s="1025">
        <v>37</v>
      </c>
      <c r="H1623" s="1026">
        <f t="shared" si="211"/>
        <v>0.52857142857142858</v>
      </c>
      <c r="I1623" s="1027">
        <f t="shared" si="214"/>
        <v>70</v>
      </c>
      <c r="J1623" s="860">
        <f t="shared" si="212"/>
        <v>37</v>
      </c>
      <c r="K1623" s="1028">
        <f t="shared" si="213"/>
        <v>0.52857142857142858</v>
      </c>
    </row>
    <row r="1624" spans="1:11" ht="24.95" customHeight="1">
      <c r="A1624" s="1023" t="s">
        <v>2329</v>
      </c>
      <c r="B1624" s="1033" t="s">
        <v>2961</v>
      </c>
      <c r="C1624" s="1025"/>
      <c r="D1624" s="1025"/>
      <c r="E1624" s="1026"/>
      <c r="F1624" s="1025">
        <v>4</v>
      </c>
      <c r="G1624" s="1025"/>
      <c r="H1624" s="1026">
        <f t="shared" si="211"/>
        <v>0</v>
      </c>
      <c r="I1624" s="1027">
        <f t="shared" si="214"/>
        <v>4</v>
      </c>
      <c r="J1624" s="860">
        <f t="shared" si="212"/>
        <v>0</v>
      </c>
      <c r="K1624" s="1028">
        <f t="shared" si="213"/>
        <v>0</v>
      </c>
    </row>
    <row r="1625" spans="1:11" ht="24.95" customHeight="1">
      <c r="A1625" s="1023" t="s">
        <v>2622</v>
      </c>
      <c r="B1625" s="1033" t="s">
        <v>2962</v>
      </c>
      <c r="C1625" s="1025"/>
      <c r="D1625" s="1025"/>
      <c r="E1625" s="1026"/>
      <c r="F1625" s="1025">
        <v>2</v>
      </c>
      <c r="G1625" s="1025"/>
      <c r="H1625" s="1026">
        <f t="shared" si="211"/>
        <v>0</v>
      </c>
      <c r="I1625" s="1027">
        <f t="shared" si="214"/>
        <v>2</v>
      </c>
      <c r="J1625" s="860">
        <f t="shared" si="212"/>
        <v>0</v>
      </c>
      <c r="K1625" s="1028">
        <f t="shared" si="213"/>
        <v>0</v>
      </c>
    </row>
    <row r="1626" spans="1:11" ht="24.95" customHeight="1">
      <c r="A1626" s="1023" t="s">
        <v>2624</v>
      </c>
      <c r="B1626" s="1033" t="s">
        <v>3981</v>
      </c>
      <c r="C1626" s="1025"/>
      <c r="D1626" s="1025"/>
      <c r="E1626" s="1026"/>
      <c r="F1626" s="1025">
        <v>90</v>
      </c>
      <c r="G1626" s="1025">
        <v>4</v>
      </c>
      <c r="H1626" s="1026">
        <f t="shared" si="211"/>
        <v>4.4444444444444446E-2</v>
      </c>
      <c r="I1626" s="1027">
        <f t="shared" si="214"/>
        <v>90</v>
      </c>
      <c r="J1626" s="860">
        <f t="shared" si="212"/>
        <v>4</v>
      </c>
      <c r="K1626" s="1028">
        <f t="shared" si="213"/>
        <v>4.4444444444444446E-2</v>
      </c>
    </row>
    <row r="1627" spans="1:11" ht="24.95" customHeight="1">
      <c r="A1627" s="1023" t="s">
        <v>2331</v>
      </c>
      <c r="B1627" s="1033" t="s">
        <v>3982</v>
      </c>
      <c r="C1627" s="1025"/>
      <c r="D1627" s="1025"/>
      <c r="E1627" s="1026"/>
      <c r="F1627" s="1025">
        <v>120</v>
      </c>
      <c r="G1627" s="1025">
        <v>18</v>
      </c>
      <c r="H1627" s="1026">
        <f t="shared" si="211"/>
        <v>0.15</v>
      </c>
      <c r="I1627" s="1027">
        <f t="shared" si="214"/>
        <v>120</v>
      </c>
      <c r="J1627" s="860">
        <f t="shared" si="212"/>
        <v>18</v>
      </c>
      <c r="K1627" s="1028">
        <f t="shared" si="213"/>
        <v>0.15</v>
      </c>
    </row>
    <row r="1628" spans="1:11" ht="24.95" customHeight="1">
      <c r="A1628" s="1023" t="s">
        <v>2627</v>
      </c>
      <c r="B1628" s="1033" t="s">
        <v>2628</v>
      </c>
      <c r="C1628" s="1025"/>
      <c r="D1628" s="1025"/>
      <c r="E1628" s="1026"/>
      <c r="F1628" s="1025">
        <v>30</v>
      </c>
      <c r="G1628" s="1025">
        <v>7</v>
      </c>
      <c r="H1628" s="1026">
        <f t="shared" si="211"/>
        <v>0.23333333333333334</v>
      </c>
      <c r="I1628" s="1027">
        <f t="shared" si="214"/>
        <v>30</v>
      </c>
      <c r="J1628" s="860">
        <f t="shared" si="212"/>
        <v>7</v>
      </c>
      <c r="K1628" s="1028">
        <f t="shared" si="213"/>
        <v>0.23333333333333334</v>
      </c>
    </row>
    <row r="1629" spans="1:11" ht="24.95" customHeight="1">
      <c r="A1629" s="1029" t="s">
        <v>2629</v>
      </c>
      <c r="B1629" s="1033" t="s">
        <v>2630</v>
      </c>
      <c r="C1629" s="1025"/>
      <c r="D1629" s="1025"/>
      <c r="E1629" s="1026"/>
      <c r="F1629" s="1025">
        <v>100</v>
      </c>
      <c r="G1629" s="1025">
        <v>16</v>
      </c>
      <c r="H1629" s="1026">
        <f t="shared" si="211"/>
        <v>0.16</v>
      </c>
      <c r="I1629" s="1027">
        <f t="shared" si="214"/>
        <v>100</v>
      </c>
      <c r="J1629" s="860">
        <f t="shared" si="212"/>
        <v>16</v>
      </c>
      <c r="K1629" s="1028">
        <f t="shared" si="213"/>
        <v>0.16</v>
      </c>
    </row>
    <row r="1630" spans="1:11" ht="24.95" customHeight="1">
      <c r="A1630" s="1029" t="s">
        <v>2631</v>
      </c>
      <c r="B1630" s="1033" t="s">
        <v>2632</v>
      </c>
      <c r="C1630" s="1025"/>
      <c r="D1630" s="1025"/>
      <c r="E1630" s="1026"/>
      <c r="F1630" s="1025">
        <v>780</v>
      </c>
      <c r="G1630" s="1025">
        <v>102</v>
      </c>
      <c r="H1630" s="1026">
        <f t="shared" si="211"/>
        <v>0.13076923076923078</v>
      </c>
      <c r="I1630" s="1027">
        <f t="shared" si="214"/>
        <v>780</v>
      </c>
      <c r="J1630" s="860">
        <f t="shared" si="212"/>
        <v>102</v>
      </c>
      <c r="K1630" s="1028">
        <f t="shared" si="213"/>
        <v>0.13076923076923078</v>
      </c>
    </row>
    <row r="1631" spans="1:11" ht="24.95" customHeight="1">
      <c r="A1631" s="1029" t="s">
        <v>2178</v>
      </c>
      <c r="B1631" s="1033" t="s">
        <v>2179</v>
      </c>
      <c r="C1631" s="1025"/>
      <c r="D1631" s="1025"/>
      <c r="E1631" s="1026"/>
      <c r="F1631" s="1025">
        <v>1040</v>
      </c>
      <c r="G1631" s="1025">
        <v>232</v>
      </c>
      <c r="H1631" s="1026">
        <f t="shared" si="211"/>
        <v>0.22307692307692309</v>
      </c>
      <c r="I1631" s="1027">
        <f t="shared" si="214"/>
        <v>1040</v>
      </c>
      <c r="J1631" s="860">
        <f t="shared" si="212"/>
        <v>232</v>
      </c>
      <c r="K1631" s="1028">
        <f t="shared" si="213"/>
        <v>0.22307692307692309</v>
      </c>
    </row>
    <row r="1632" spans="1:11" ht="24.95" customHeight="1">
      <c r="A1632" s="1029" t="s">
        <v>2633</v>
      </c>
      <c r="B1632" s="1033" t="s">
        <v>2965</v>
      </c>
      <c r="C1632" s="1025"/>
      <c r="D1632" s="1025"/>
      <c r="E1632" s="1026"/>
      <c r="F1632" s="1025">
        <v>105</v>
      </c>
      <c r="G1632" s="1025">
        <v>7</v>
      </c>
      <c r="H1632" s="1026">
        <f t="shared" si="211"/>
        <v>6.6666666666666666E-2</v>
      </c>
      <c r="I1632" s="1027">
        <f t="shared" si="214"/>
        <v>105</v>
      </c>
      <c r="J1632" s="860">
        <f t="shared" si="212"/>
        <v>7</v>
      </c>
      <c r="K1632" s="1028">
        <f t="shared" si="213"/>
        <v>6.6666666666666666E-2</v>
      </c>
    </row>
    <row r="1633" spans="1:11" ht="24.95" customHeight="1">
      <c r="A1633" s="1029" t="s">
        <v>2637</v>
      </c>
      <c r="B1633" s="1033" t="s">
        <v>2638</v>
      </c>
      <c r="C1633" s="1025"/>
      <c r="D1633" s="1025"/>
      <c r="E1633" s="1026"/>
      <c r="F1633" s="1025">
        <v>5</v>
      </c>
      <c r="G1633" s="1025">
        <v>3</v>
      </c>
      <c r="H1633" s="1026">
        <f t="shared" si="211"/>
        <v>0.6</v>
      </c>
      <c r="I1633" s="1027">
        <f t="shared" si="214"/>
        <v>5</v>
      </c>
      <c r="J1633" s="860">
        <f t="shared" si="212"/>
        <v>3</v>
      </c>
      <c r="K1633" s="1028">
        <f t="shared" si="213"/>
        <v>0.6</v>
      </c>
    </row>
    <row r="1634" spans="1:11" ht="24.95" customHeight="1">
      <c r="A1634" s="1029" t="s">
        <v>2639</v>
      </c>
      <c r="B1634" s="1033" t="s">
        <v>2640</v>
      </c>
      <c r="C1634" s="1025"/>
      <c r="D1634" s="1025"/>
      <c r="E1634" s="1026"/>
      <c r="F1634" s="1025">
        <v>110</v>
      </c>
      <c r="G1634" s="1025"/>
      <c r="H1634" s="1026">
        <f t="shared" si="211"/>
        <v>0</v>
      </c>
      <c r="I1634" s="1027">
        <f t="shared" si="214"/>
        <v>110</v>
      </c>
      <c r="J1634" s="860">
        <f t="shared" si="212"/>
        <v>0</v>
      </c>
      <c r="K1634" s="1028">
        <f t="shared" si="213"/>
        <v>0</v>
      </c>
    </row>
    <row r="1635" spans="1:11" ht="24.95" customHeight="1">
      <c r="A1635" s="1029" t="s">
        <v>2645</v>
      </c>
      <c r="B1635" s="1033" t="s">
        <v>2646</v>
      </c>
      <c r="C1635" s="1025"/>
      <c r="D1635" s="1025"/>
      <c r="E1635" s="1026"/>
      <c r="F1635" s="1025">
        <v>25</v>
      </c>
      <c r="G1635" s="1025">
        <v>5</v>
      </c>
      <c r="H1635" s="1026">
        <f t="shared" si="211"/>
        <v>0.2</v>
      </c>
      <c r="I1635" s="1027">
        <f t="shared" si="214"/>
        <v>25</v>
      </c>
      <c r="J1635" s="860">
        <f t="shared" si="212"/>
        <v>5</v>
      </c>
      <c r="K1635" s="1028">
        <f t="shared" si="213"/>
        <v>0.2</v>
      </c>
    </row>
    <row r="1636" spans="1:11" ht="24.95" customHeight="1">
      <c r="A1636" s="1023" t="s">
        <v>2667</v>
      </c>
      <c r="B1636" s="1033" t="s">
        <v>3004</v>
      </c>
      <c r="C1636" s="1025"/>
      <c r="D1636" s="1025"/>
      <c r="E1636" s="1026"/>
      <c r="F1636" s="1025">
        <v>2</v>
      </c>
      <c r="G1636" s="1025">
        <v>1</v>
      </c>
      <c r="H1636" s="1026">
        <f t="shared" si="211"/>
        <v>0.5</v>
      </c>
      <c r="I1636" s="1027">
        <f t="shared" si="214"/>
        <v>2</v>
      </c>
      <c r="J1636" s="860">
        <f t="shared" si="212"/>
        <v>1</v>
      </c>
      <c r="K1636" s="1028">
        <f t="shared" si="213"/>
        <v>0.5</v>
      </c>
    </row>
    <row r="1637" spans="1:11" ht="24.95" customHeight="1">
      <c r="A1637" s="1023" t="s">
        <v>2669</v>
      </c>
      <c r="B1637" s="1024" t="s">
        <v>3977</v>
      </c>
      <c r="C1637" s="1025"/>
      <c r="D1637" s="1025"/>
      <c r="E1637" s="1026"/>
      <c r="F1637" s="1025">
        <v>5</v>
      </c>
      <c r="G1637" s="1025"/>
      <c r="H1637" s="1026">
        <f t="shared" si="211"/>
        <v>0</v>
      </c>
      <c r="I1637" s="1027">
        <f t="shared" si="214"/>
        <v>5</v>
      </c>
      <c r="J1637" s="860">
        <f t="shared" si="212"/>
        <v>0</v>
      </c>
      <c r="K1637" s="1028">
        <f t="shared" si="213"/>
        <v>0</v>
      </c>
    </row>
    <row r="1638" spans="1:11" ht="24.95" customHeight="1">
      <c r="A1638" s="1029"/>
      <c r="B1638" s="1066" t="s">
        <v>3983</v>
      </c>
      <c r="C1638" s="1030">
        <f t="shared" ref="C1638:J1638" si="215">SUM(C1609:C1637)</f>
        <v>0</v>
      </c>
      <c r="D1638" s="1030">
        <f t="shared" si="215"/>
        <v>0</v>
      </c>
      <c r="E1638" s="1045" t="e">
        <f>+D1638/C1638</f>
        <v>#DIV/0!</v>
      </c>
      <c r="F1638" s="1030">
        <f t="shared" si="215"/>
        <v>2815</v>
      </c>
      <c r="G1638" s="1030">
        <f t="shared" si="215"/>
        <v>513</v>
      </c>
      <c r="H1638" s="1026">
        <f t="shared" si="211"/>
        <v>0.18223801065719361</v>
      </c>
      <c r="I1638" s="1030">
        <f t="shared" si="215"/>
        <v>2812</v>
      </c>
      <c r="J1638" s="1030">
        <f t="shared" si="215"/>
        <v>513</v>
      </c>
      <c r="K1638" s="1028">
        <f t="shared" si="213"/>
        <v>0.18243243243243243</v>
      </c>
    </row>
    <row r="1639" spans="1:11" ht="24.95" customHeight="1">
      <c r="A1639" s="1023"/>
      <c r="B1639" s="1034" t="s">
        <v>3113</v>
      </c>
      <c r="C1639" s="1030">
        <f t="shared" ref="C1639:J1639" si="216">+C1607</f>
        <v>0</v>
      </c>
      <c r="D1639" s="1030">
        <f t="shared" si="216"/>
        <v>0</v>
      </c>
      <c r="E1639" s="1045" t="e">
        <f t="shared" ref="E1639:E1643" si="217">+D1639/C1639</f>
        <v>#DIV/0!</v>
      </c>
      <c r="F1639" s="1030">
        <f t="shared" si="216"/>
        <v>211788</v>
      </c>
      <c r="G1639" s="1030">
        <f t="shared" si="216"/>
        <v>125818</v>
      </c>
      <c r="H1639" s="1026">
        <f t="shared" si="211"/>
        <v>0.59407520728275443</v>
      </c>
      <c r="I1639" s="1030">
        <f t="shared" si="216"/>
        <v>211788</v>
      </c>
      <c r="J1639" s="1030">
        <f t="shared" si="216"/>
        <v>125818</v>
      </c>
      <c r="K1639" s="1028">
        <f t="shared" si="213"/>
        <v>0.59407520728275443</v>
      </c>
    </row>
    <row r="1640" spans="1:11" ht="24.95" customHeight="1">
      <c r="A1640" s="1023"/>
      <c r="B1640" s="1034" t="s">
        <v>3984</v>
      </c>
      <c r="C1640" s="1030">
        <f>+C1402+C1410+C1428+C1449+C1454+C1465+120</f>
        <v>14538</v>
      </c>
      <c r="D1640" s="1030">
        <f>+D1402+D1410+D1428+D1449+D1454+D1465+120</f>
        <v>6088</v>
      </c>
      <c r="E1640" s="1045">
        <f t="shared" si="217"/>
        <v>0.41876461686614391</v>
      </c>
      <c r="F1640" s="1030">
        <f>+F1402+F1410+F1428+F1449+F1454+F1465+120</f>
        <v>2956</v>
      </c>
      <c r="G1640" s="1030">
        <f>+G1402+G1410+G1428+G1449+G1454+G1465+120</f>
        <v>1172</v>
      </c>
      <c r="H1640" s="1026">
        <f t="shared" si="211"/>
        <v>0.39648173207036536</v>
      </c>
      <c r="I1640" s="1030">
        <f>+I1402+I1410+I1428+I1449+I1454+I1465+120</f>
        <v>17371</v>
      </c>
      <c r="J1640" s="1030">
        <f>+J1402+J1410+J1428+J1449+J1454+J1465+120</f>
        <v>7140</v>
      </c>
      <c r="K1640" s="1028">
        <f t="shared" si="213"/>
        <v>0.41102987738184332</v>
      </c>
    </row>
    <row r="1641" spans="1:11" ht="24.95" customHeight="1">
      <c r="A1641" s="1023"/>
      <c r="B1641" s="1034" t="s">
        <v>3985</v>
      </c>
      <c r="C1641" s="1067">
        <f t="shared" ref="C1641:F1641" si="218">SUM(C1638:C1640)+C1642</f>
        <v>15218</v>
      </c>
      <c r="D1641" s="1067">
        <f t="shared" ref="D1641" si="219">SUM(D1638:D1640)+D1642</f>
        <v>6089</v>
      </c>
      <c r="E1641" s="1045">
        <f t="shared" si="217"/>
        <v>0.40011828098304641</v>
      </c>
      <c r="F1641" s="1067">
        <f t="shared" si="218"/>
        <v>217559</v>
      </c>
      <c r="G1641" s="1067">
        <f t="shared" ref="G1641" si="220">SUM(G1638:G1640)+G1642</f>
        <v>127503</v>
      </c>
      <c r="H1641" s="1026">
        <f t="shared" si="211"/>
        <v>0.58606171199536672</v>
      </c>
      <c r="I1641" s="1067">
        <f t="shared" ref="I1641:J1641" si="221">SUM(I1638:I1640)+I1642</f>
        <v>232651</v>
      </c>
      <c r="J1641" s="1067">
        <f t="shared" si="221"/>
        <v>133472</v>
      </c>
      <c r="K1641" s="1028">
        <f t="shared" si="213"/>
        <v>0.57370052138181227</v>
      </c>
    </row>
    <row r="1642" spans="1:11" ht="24.95" customHeight="1">
      <c r="A1642" s="770"/>
      <c r="B1642" s="1034" t="s">
        <v>3986</v>
      </c>
      <c r="C1642" s="1068">
        <f t="shared" ref="C1642:J1642" si="222">+C1442</f>
        <v>680</v>
      </c>
      <c r="D1642" s="1068">
        <f t="shared" si="222"/>
        <v>1</v>
      </c>
      <c r="E1642" s="1045">
        <f t="shared" si="217"/>
        <v>1.4705882352941176E-3</v>
      </c>
      <c r="F1642" s="1068">
        <f t="shared" si="222"/>
        <v>0</v>
      </c>
      <c r="G1642" s="1068">
        <f t="shared" si="222"/>
        <v>0</v>
      </c>
      <c r="H1642" s="1026" t="e">
        <f t="shared" si="211"/>
        <v>#DIV/0!</v>
      </c>
      <c r="I1642" s="1068">
        <f t="shared" si="222"/>
        <v>680</v>
      </c>
      <c r="J1642" s="1068">
        <f t="shared" si="222"/>
        <v>1</v>
      </c>
      <c r="K1642" s="1028">
        <f t="shared" si="213"/>
        <v>1.4705882352941176E-3</v>
      </c>
    </row>
    <row r="1643" spans="1:11" ht="24.95" customHeight="1">
      <c r="A1643" s="1069"/>
      <c r="B1643" s="1069" t="s">
        <v>3987</v>
      </c>
      <c r="C1643" s="1068">
        <f t="shared" ref="C1643:J1643" si="223">+C1641+C1642</f>
        <v>15898</v>
      </c>
      <c r="D1643" s="1068">
        <f t="shared" si="223"/>
        <v>6090</v>
      </c>
      <c r="E1643" s="1045">
        <f t="shared" si="217"/>
        <v>0.38306705245942885</v>
      </c>
      <c r="F1643" s="1068">
        <f t="shared" si="223"/>
        <v>217559</v>
      </c>
      <c r="G1643" s="1068">
        <f t="shared" si="223"/>
        <v>127503</v>
      </c>
      <c r="H1643" s="1026">
        <f t="shared" si="211"/>
        <v>0.58606171199536672</v>
      </c>
      <c r="I1643" s="1068">
        <f t="shared" si="223"/>
        <v>233331</v>
      </c>
      <c r="J1643" s="1068">
        <f t="shared" si="223"/>
        <v>133473</v>
      </c>
      <c r="K1643" s="1028">
        <f t="shared" si="213"/>
        <v>0.57203286318577473</v>
      </c>
    </row>
    <row r="1644" spans="1:11" s="741" customFormat="1" ht="24.95" customHeight="1">
      <c r="A1644" s="2104" t="s">
        <v>208</v>
      </c>
      <c r="B1644" s="2105"/>
      <c r="C1644" s="1960" t="s">
        <v>1852</v>
      </c>
      <c r="D1644" s="1961"/>
      <c r="E1644" s="1961"/>
      <c r="F1644" s="1961"/>
      <c r="G1644" s="1961"/>
      <c r="H1644" s="1961"/>
      <c r="I1644" s="1961"/>
      <c r="J1644" s="1961"/>
      <c r="K1644" s="1961"/>
    </row>
    <row r="1645" spans="1:11" s="741" customFormat="1" ht="24.95" customHeight="1">
      <c r="A1645" s="2075" t="s">
        <v>209</v>
      </c>
      <c r="B1645" s="2076"/>
      <c r="C1645" s="1958">
        <v>17878735</v>
      </c>
      <c r="D1645" s="1959"/>
      <c r="E1645" s="1959"/>
      <c r="F1645" s="1959"/>
      <c r="G1645" s="1959"/>
      <c r="H1645" s="1959"/>
      <c r="I1645" s="1959"/>
      <c r="J1645" s="1959"/>
      <c r="K1645" s="1959"/>
    </row>
    <row r="1646" spans="1:11" s="741" customFormat="1" ht="24.95" customHeight="1">
      <c r="A1646" s="2075" t="s">
        <v>211</v>
      </c>
      <c r="B1646" s="2076"/>
      <c r="C1646" s="1960" t="s">
        <v>1812</v>
      </c>
      <c r="D1646" s="1961"/>
      <c r="E1646" s="1961"/>
      <c r="F1646" s="1961"/>
      <c r="G1646" s="1961"/>
      <c r="H1646" s="1961"/>
      <c r="I1646" s="1961"/>
      <c r="J1646" s="1961"/>
      <c r="K1646" s="1961"/>
    </row>
    <row r="1647" spans="1:11" s="741" customFormat="1" ht="24.95" customHeight="1">
      <c r="A1647" s="2075" t="s">
        <v>210</v>
      </c>
      <c r="B1647" s="2076"/>
      <c r="C1647" s="2042" t="s">
        <v>331</v>
      </c>
      <c r="D1647" s="2043"/>
      <c r="E1647" s="2043"/>
      <c r="F1647" s="2043"/>
      <c r="G1647" s="2043"/>
      <c r="H1647" s="2043"/>
      <c r="I1647" s="2043"/>
      <c r="J1647" s="2043"/>
      <c r="K1647" s="2043"/>
    </row>
    <row r="1648" spans="1:11" s="741" customFormat="1" ht="24.95" customHeight="1">
      <c r="A1648" s="2077" t="s">
        <v>251</v>
      </c>
      <c r="B1648" s="2078"/>
      <c r="C1648" s="2084" t="s">
        <v>1899</v>
      </c>
      <c r="D1648" s="2085"/>
      <c r="E1648" s="2085"/>
      <c r="F1648" s="2085"/>
      <c r="G1648" s="2085"/>
      <c r="H1648" s="2085"/>
      <c r="I1648" s="2085"/>
      <c r="J1648" s="2085"/>
      <c r="K1648" s="2085"/>
    </row>
    <row r="1649" spans="1:11" ht="24.95" customHeight="1">
      <c r="A1649" s="2095" t="s">
        <v>122</v>
      </c>
      <c r="B1649" s="2095" t="s">
        <v>253</v>
      </c>
      <c r="C1649" s="1935" t="s">
        <v>2038</v>
      </c>
      <c r="D1649" s="1935"/>
      <c r="E1649" s="1935"/>
      <c r="F1649" s="1935" t="s">
        <v>2039</v>
      </c>
      <c r="G1649" s="1935"/>
      <c r="H1649" s="1935"/>
      <c r="I1649" s="1935" t="s">
        <v>90</v>
      </c>
      <c r="J1649" s="1935"/>
      <c r="K1649" s="1935"/>
    </row>
    <row r="1650" spans="1:11" ht="24.95" customHeight="1">
      <c r="A1650" s="2096"/>
      <c r="B1650" s="2096"/>
      <c r="C1650" s="545" t="s">
        <v>368</v>
      </c>
      <c r="D1650" s="547" t="s">
        <v>2040</v>
      </c>
      <c r="E1650" s="546" t="s">
        <v>2041</v>
      </c>
      <c r="F1650" s="545" t="s">
        <v>368</v>
      </c>
      <c r="G1650" s="547" t="s">
        <v>2040</v>
      </c>
      <c r="H1650" s="546" t="s">
        <v>2041</v>
      </c>
      <c r="I1650" s="545" t="s">
        <v>368</v>
      </c>
      <c r="J1650" s="547" t="s">
        <v>2040</v>
      </c>
      <c r="K1650" s="546" t="s">
        <v>2041</v>
      </c>
    </row>
    <row r="1651" spans="1:11" ht="24.95" customHeight="1">
      <c r="A1651" s="1070"/>
      <c r="B1651" s="1071" t="s">
        <v>2372</v>
      </c>
      <c r="C1651" s="2090"/>
      <c r="D1651" s="2091"/>
      <c r="E1651" s="2091"/>
      <c r="F1651" s="2091"/>
      <c r="G1651" s="2091"/>
      <c r="H1651" s="2091"/>
      <c r="I1651" s="2091"/>
      <c r="J1651" s="2091"/>
      <c r="K1651" s="2092"/>
    </row>
    <row r="1652" spans="1:11" ht="24.95" customHeight="1">
      <c r="A1652" s="1072" t="s">
        <v>2805</v>
      </c>
      <c r="B1652" s="1073" t="s">
        <v>3547</v>
      </c>
      <c r="C1652" s="1074">
        <v>4930</v>
      </c>
      <c r="D1652" s="1074">
        <v>1742</v>
      </c>
      <c r="E1652" s="1075">
        <f>+D1652/C1652</f>
        <v>0.3533468559837728</v>
      </c>
      <c r="F1652" s="1076">
        <v>7</v>
      </c>
      <c r="G1652" s="1076"/>
      <c r="H1652" s="1077">
        <f>+G1652/F1652</f>
        <v>0</v>
      </c>
      <c r="I1652" s="1078">
        <f t="shared" ref="I1652:J1686" si="224">+C1652+F1652</f>
        <v>4937</v>
      </c>
      <c r="J1652" s="695">
        <f>+D1652+G1652</f>
        <v>1742</v>
      </c>
      <c r="K1652" s="855">
        <f>+J1652/I1652</f>
        <v>0.35284585780838568</v>
      </c>
    </row>
    <row r="1653" spans="1:11" ht="24.95" customHeight="1">
      <c r="A1653" s="1079" t="s">
        <v>3988</v>
      </c>
      <c r="B1653" s="1080" t="s">
        <v>3989</v>
      </c>
      <c r="C1653" s="1081">
        <v>10</v>
      </c>
      <c r="D1653" s="1081"/>
      <c r="E1653" s="1075">
        <f t="shared" ref="E1653:E1716" si="225">+D1653/C1653</f>
        <v>0</v>
      </c>
      <c r="F1653" s="1082"/>
      <c r="G1653" s="1082"/>
      <c r="H1653" s="1077" t="e">
        <f t="shared" ref="H1653:H1716" si="226">+G1653/F1653</f>
        <v>#DIV/0!</v>
      </c>
      <c r="I1653" s="1083">
        <f t="shared" si="224"/>
        <v>10</v>
      </c>
      <c r="J1653" s="695">
        <f t="shared" si="224"/>
        <v>0</v>
      </c>
      <c r="K1653" s="855">
        <f t="shared" ref="K1653:K1716" si="227">+J1653/I1653</f>
        <v>0</v>
      </c>
    </row>
    <row r="1654" spans="1:11" ht="24.95" customHeight="1">
      <c r="A1654" s="1079" t="s">
        <v>3990</v>
      </c>
      <c r="B1654" s="1080" t="s">
        <v>3991</v>
      </c>
      <c r="C1654" s="1081">
        <v>1500</v>
      </c>
      <c r="D1654" s="1081">
        <v>826</v>
      </c>
      <c r="E1654" s="1075">
        <f t="shared" si="225"/>
        <v>0.55066666666666664</v>
      </c>
      <c r="F1654" s="1084">
        <v>20</v>
      </c>
      <c r="G1654" s="1084">
        <v>1</v>
      </c>
      <c r="H1654" s="1077">
        <f t="shared" si="226"/>
        <v>0.05</v>
      </c>
      <c r="I1654" s="1083">
        <f t="shared" si="224"/>
        <v>1520</v>
      </c>
      <c r="J1654" s="695">
        <f t="shared" si="224"/>
        <v>827</v>
      </c>
      <c r="K1654" s="855">
        <f t="shared" si="227"/>
        <v>0.54407894736842111</v>
      </c>
    </row>
    <row r="1655" spans="1:11" ht="24.95" customHeight="1">
      <c r="A1655" s="1079" t="s">
        <v>3992</v>
      </c>
      <c r="B1655" s="1080" t="s">
        <v>3993</v>
      </c>
      <c r="C1655" s="1081">
        <v>5500</v>
      </c>
      <c r="D1655" s="1081">
        <v>2438</v>
      </c>
      <c r="E1655" s="1075">
        <f t="shared" si="225"/>
        <v>0.44327272727272726</v>
      </c>
      <c r="F1655" s="1084">
        <v>5</v>
      </c>
      <c r="G1655" s="1084">
        <v>0</v>
      </c>
      <c r="H1655" s="1077">
        <f t="shared" si="226"/>
        <v>0</v>
      </c>
      <c r="I1655" s="1083">
        <f t="shared" si="224"/>
        <v>5505</v>
      </c>
      <c r="J1655" s="695">
        <f t="shared" si="224"/>
        <v>2438</v>
      </c>
      <c r="K1655" s="855">
        <f t="shared" si="227"/>
        <v>0.44287011807447774</v>
      </c>
    </row>
    <row r="1656" spans="1:11" ht="24.95" customHeight="1">
      <c r="A1656" s="1079" t="s">
        <v>3994</v>
      </c>
      <c r="B1656" s="1080" t="s">
        <v>3995</v>
      </c>
      <c r="C1656" s="1081">
        <v>5700</v>
      </c>
      <c r="D1656" s="1081">
        <v>2460</v>
      </c>
      <c r="E1656" s="1075">
        <f t="shared" si="225"/>
        <v>0.43157894736842106</v>
      </c>
      <c r="F1656" s="1084">
        <v>10</v>
      </c>
      <c r="G1656" s="1084">
        <v>0</v>
      </c>
      <c r="H1656" s="1077">
        <f t="shared" si="226"/>
        <v>0</v>
      </c>
      <c r="I1656" s="1083">
        <f t="shared" si="224"/>
        <v>5710</v>
      </c>
      <c r="J1656" s="695">
        <f t="shared" si="224"/>
        <v>2460</v>
      </c>
      <c r="K1656" s="855">
        <f t="shared" si="227"/>
        <v>0.43082311733800349</v>
      </c>
    </row>
    <row r="1657" spans="1:11" ht="24.95" customHeight="1">
      <c r="A1657" s="1079" t="s">
        <v>3996</v>
      </c>
      <c r="B1657" s="1080" t="s">
        <v>3997</v>
      </c>
      <c r="C1657" s="1081">
        <v>5050</v>
      </c>
      <c r="D1657" s="1081">
        <v>2006</v>
      </c>
      <c r="E1657" s="1075">
        <f t="shared" si="225"/>
        <v>0.39722772277227725</v>
      </c>
      <c r="F1657" s="1084">
        <v>3</v>
      </c>
      <c r="G1657" s="1084">
        <v>0</v>
      </c>
      <c r="H1657" s="1077">
        <f t="shared" si="226"/>
        <v>0</v>
      </c>
      <c r="I1657" s="1083">
        <f t="shared" si="224"/>
        <v>5053</v>
      </c>
      <c r="J1657" s="695">
        <f t="shared" si="224"/>
        <v>2006</v>
      </c>
      <c r="K1657" s="855">
        <f t="shared" si="227"/>
        <v>0.39699188600831187</v>
      </c>
    </row>
    <row r="1658" spans="1:11" ht="24.95" customHeight="1">
      <c r="A1658" s="1079" t="s">
        <v>3998</v>
      </c>
      <c r="B1658" s="1080" t="s">
        <v>3999</v>
      </c>
      <c r="C1658" s="1081">
        <v>10800</v>
      </c>
      <c r="D1658" s="1081">
        <v>5074</v>
      </c>
      <c r="E1658" s="1075">
        <f t="shared" si="225"/>
        <v>0.4698148148148148</v>
      </c>
      <c r="F1658" s="1084">
        <v>3</v>
      </c>
      <c r="G1658" s="1084">
        <v>0</v>
      </c>
      <c r="H1658" s="1077">
        <f t="shared" si="226"/>
        <v>0</v>
      </c>
      <c r="I1658" s="1083">
        <f t="shared" si="224"/>
        <v>10803</v>
      </c>
      <c r="J1658" s="695">
        <f t="shared" si="224"/>
        <v>5074</v>
      </c>
      <c r="K1658" s="855">
        <f t="shared" si="227"/>
        <v>0.46968434694066463</v>
      </c>
    </row>
    <row r="1659" spans="1:11" ht="24.95" customHeight="1">
      <c r="A1659" s="1079" t="s">
        <v>4000</v>
      </c>
      <c r="B1659" s="1080" t="s">
        <v>4001</v>
      </c>
      <c r="C1659" s="1081">
        <v>5</v>
      </c>
      <c r="D1659" s="1081">
        <v>0</v>
      </c>
      <c r="E1659" s="1075">
        <f t="shared" si="225"/>
        <v>0</v>
      </c>
      <c r="F1659" s="1084"/>
      <c r="G1659" s="1084"/>
      <c r="H1659" s="1077" t="e">
        <f t="shared" si="226"/>
        <v>#DIV/0!</v>
      </c>
      <c r="I1659" s="1083">
        <f t="shared" si="224"/>
        <v>5</v>
      </c>
      <c r="J1659" s="695">
        <f t="shared" si="224"/>
        <v>0</v>
      </c>
      <c r="K1659" s="855">
        <f t="shared" si="227"/>
        <v>0</v>
      </c>
    </row>
    <row r="1660" spans="1:11" ht="24.95" customHeight="1">
      <c r="A1660" s="1079" t="s">
        <v>4002</v>
      </c>
      <c r="B1660" s="1080" t="s">
        <v>4003</v>
      </c>
      <c r="C1660" s="1081">
        <v>1665</v>
      </c>
      <c r="D1660" s="1081">
        <v>561</v>
      </c>
      <c r="E1660" s="1075">
        <f t="shared" si="225"/>
        <v>0.33693693693693694</v>
      </c>
      <c r="F1660" s="1084">
        <v>4</v>
      </c>
      <c r="G1660" s="1084">
        <v>0</v>
      </c>
      <c r="H1660" s="1077">
        <f t="shared" si="226"/>
        <v>0</v>
      </c>
      <c r="I1660" s="1083">
        <f t="shared" si="224"/>
        <v>1669</v>
      </c>
      <c r="J1660" s="695">
        <f t="shared" si="224"/>
        <v>561</v>
      </c>
      <c r="K1660" s="855">
        <f t="shared" si="227"/>
        <v>0.33612941881366087</v>
      </c>
    </row>
    <row r="1661" spans="1:11" ht="24.95" customHeight="1">
      <c r="A1661" s="1079" t="s">
        <v>4004</v>
      </c>
      <c r="B1661" s="1080" t="s">
        <v>4005</v>
      </c>
      <c r="C1661" s="1081">
        <v>10500</v>
      </c>
      <c r="D1661" s="1081">
        <v>4612</v>
      </c>
      <c r="E1661" s="1075">
        <f t="shared" si="225"/>
        <v>0.43923809523809526</v>
      </c>
      <c r="F1661" s="1084">
        <v>15</v>
      </c>
      <c r="G1661" s="1084"/>
      <c r="H1661" s="1077">
        <f t="shared" si="226"/>
        <v>0</v>
      </c>
      <c r="I1661" s="1083">
        <f t="shared" si="224"/>
        <v>10515</v>
      </c>
      <c r="J1661" s="695">
        <f t="shared" si="224"/>
        <v>4612</v>
      </c>
      <c r="K1661" s="855">
        <f t="shared" si="227"/>
        <v>0.4386115073704232</v>
      </c>
    </row>
    <row r="1662" spans="1:11" ht="24.95" customHeight="1">
      <c r="A1662" s="1079" t="s">
        <v>4006</v>
      </c>
      <c r="B1662" s="1080" t="s">
        <v>4007</v>
      </c>
      <c r="C1662" s="1081">
        <v>0</v>
      </c>
      <c r="D1662" s="1081"/>
      <c r="E1662" s="1075" t="e">
        <f t="shared" si="225"/>
        <v>#DIV/0!</v>
      </c>
      <c r="F1662" s="1084">
        <v>0</v>
      </c>
      <c r="G1662" s="1084"/>
      <c r="H1662" s="1077" t="e">
        <f t="shared" si="226"/>
        <v>#DIV/0!</v>
      </c>
      <c r="I1662" s="1083">
        <f t="shared" si="224"/>
        <v>0</v>
      </c>
      <c r="J1662" s="695">
        <f t="shared" si="224"/>
        <v>0</v>
      </c>
      <c r="K1662" s="855" t="e">
        <f t="shared" si="227"/>
        <v>#DIV/0!</v>
      </c>
    </row>
    <row r="1663" spans="1:11" ht="24.95" customHeight="1">
      <c r="A1663" s="1079" t="s">
        <v>4008</v>
      </c>
      <c r="B1663" s="1080" t="s">
        <v>4009</v>
      </c>
      <c r="C1663" s="1085">
        <v>2100</v>
      </c>
      <c r="D1663" s="1085">
        <v>937</v>
      </c>
      <c r="E1663" s="1075">
        <f t="shared" si="225"/>
        <v>0.44619047619047619</v>
      </c>
      <c r="F1663" s="1082"/>
      <c r="G1663" s="1082"/>
      <c r="H1663" s="1077" t="e">
        <f t="shared" si="226"/>
        <v>#DIV/0!</v>
      </c>
      <c r="I1663" s="1083">
        <f t="shared" si="224"/>
        <v>2100</v>
      </c>
      <c r="J1663" s="695">
        <f t="shared" si="224"/>
        <v>937</v>
      </c>
      <c r="K1663" s="855">
        <f t="shared" si="227"/>
        <v>0.44619047619047619</v>
      </c>
    </row>
    <row r="1664" spans="1:11" ht="24.95" customHeight="1">
      <c r="A1664" s="1079" t="s">
        <v>4010</v>
      </c>
      <c r="B1664" s="1080" t="s">
        <v>4011</v>
      </c>
      <c r="C1664" s="1085">
        <v>50</v>
      </c>
      <c r="D1664" s="1085">
        <v>8</v>
      </c>
      <c r="E1664" s="1075">
        <f t="shared" si="225"/>
        <v>0.16</v>
      </c>
      <c r="F1664" s="1082"/>
      <c r="G1664" s="1082"/>
      <c r="H1664" s="1077" t="e">
        <f t="shared" si="226"/>
        <v>#DIV/0!</v>
      </c>
      <c r="I1664" s="1083">
        <f t="shared" si="224"/>
        <v>50</v>
      </c>
      <c r="J1664" s="695">
        <f t="shared" si="224"/>
        <v>8</v>
      </c>
      <c r="K1664" s="855">
        <f t="shared" si="227"/>
        <v>0.16</v>
      </c>
    </row>
    <row r="1665" spans="1:11" ht="24.95" customHeight="1">
      <c r="A1665" s="1079" t="s">
        <v>4012</v>
      </c>
      <c r="B1665" s="1080" t="s">
        <v>4013</v>
      </c>
      <c r="C1665" s="1085"/>
      <c r="D1665" s="1085"/>
      <c r="E1665" s="1075" t="e">
        <f t="shared" si="225"/>
        <v>#DIV/0!</v>
      </c>
      <c r="F1665" s="1084">
        <v>100</v>
      </c>
      <c r="G1665" s="1084">
        <v>25</v>
      </c>
      <c r="H1665" s="1077">
        <f t="shared" si="226"/>
        <v>0.25</v>
      </c>
      <c r="I1665" s="1083">
        <f t="shared" si="224"/>
        <v>100</v>
      </c>
      <c r="J1665" s="695">
        <f t="shared" si="224"/>
        <v>25</v>
      </c>
      <c r="K1665" s="855">
        <f t="shared" si="227"/>
        <v>0.25</v>
      </c>
    </row>
    <row r="1666" spans="1:11" ht="24.95" customHeight="1">
      <c r="A1666" s="1079" t="s">
        <v>4014</v>
      </c>
      <c r="B1666" s="1080" t="s">
        <v>4015</v>
      </c>
      <c r="C1666" s="1085">
        <v>100</v>
      </c>
      <c r="D1666" s="1085">
        <v>22</v>
      </c>
      <c r="E1666" s="1075">
        <f t="shared" si="225"/>
        <v>0.22</v>
      </c>
      <c r="F1666" s="1084"/>
      <c r="G1666" s="1084"/>
      <c r="H1666" s="1077" t="e">
        <f t="shared" si="226"/>
        <v>#DIV/0!</v>
      </c>
      <c r="I1666" s="1083">
        <f t="shared" si="224"/>
        <v>100</v>
      </c>
      <c r="J1666" s="695">
        <f t="shared" si="224"/>
        <v>22</v>
      </c>
      <c r="K1666" s="855">
        <f t="shared" si="227"/>
        <v>0.22</v>
      </c>
    </row>
    <row r="1667" spans="1:11" ht="24.95" customHeight="1">
      <c r="A1667" s="1079" t="s">
        <v>4016</v>
      </c>
      <c r="B1667" s="1080" t="s">
        <v>4017</v>
      </c>
      <c r="C1667" s="1085">
        <v>150</v>
      </c>
      <c r="D1667" s="1085">
        <v>94</v>
      </c>
      <c r="E1667" s="1075">
        <f t="shared" si="225"/>
        <v>0.62666666666666671</v>
      </c>
      <c r="F1667" s="1084">
        <v>1</v>
      </c>
      <c r="G1667" s="1084">
        <v>0</v>
      </c>
      <c r="H1667" s="1077">
        <f t="shared" si="226"/>
        <v>0</v>
      </c>
      <c r="I1667" s="1083">
        <f t="shared" si="224"/>
        <v>151</v>
      </c>
      <c r="J1667" s="695">
        <f t="shared" si="224"/>
        <v>94</v>
      </c>
      <c r="K1667" s="855">
        <f t="shared" si="227"/>
        <v>0.62251655629139069</v>
      </c>
    </row>
    <row r="1668" spans="1:11" ht="24.95" customHeight="1">
      <c r="A1668" s="1079" t="s">
        <v>4018</v>
      </c>
      <c r="B1668" s="1080" t="s">
        <v>4019</v>
      </c>
      <c r="C1668" s="1085">
        <v>30</v>
      </c>
      <c r="D1668" s="1085"/>
      <c r="E1668" s="1075">
        <f t="shared" si="225"/>
        <v>0</v>
      </c>
      <c r="F1668" s="1084">
        <v>0</v>
      </c>
      <c r="G1668" s="1084">
        <v>2</v>
      </c>
      <c r="H1668" s="1077" t="e">
        <f t="shared" si="226"/>
        <v>#DIV/0!</v>
      </c>
      <c r="I1668" s="1083">
        <f t="shared" si="224"/>
        <v>30</v>
      </c>
      <c r="J1668" s="695">
        <f t="shared" si="224"/>
        <v>2</v>
      </c>
      <c r="K1668" s="855">
        <f t="shared" si="227"/>
        <v>6.6666666666666666E-2</v>
      </c>
    </row>
    <row r="1669" spans="1:11" ht="24.95" customHeight="1">
      <c r="A1669" s="1079" t="s">
        <v>4020</v>
      </c>
      <c r="B1669" s="1080" t="s">
        <v>4021</v>
      </c>
      <c r="C1669" s="1085">
        <v>160</v>
      </c>
      <c r="D1669" s="1085">
        <v>13</v>
      </c>
      <c r="E1669" s="1075">
        <f t="shared" si="225"/>
        <v>8.1250000000000003E-2</v>
      </c>
      <c r="F1669" s="1084"/>
      <c r="G1669" s="1084"/>
      <c r="H1669" s="1077" t="e">
        <f t="shared" si="226"/>
        <v>#DIV/0!</v>
      </c>
      <c r="I1669" s="1083">
        <f t="shared" si="224"/>
        <v>160</v>
      </c>
      <c r="J1669" s="695">
        <f t="shared" si="224"/>
        <v>13</v>
      </c>
      <c r="K1669" s="855">
        <f t="shared" si="227"/>
        <v>8.1250000000000003E-2</v>
      </c>
    </row>
    <row r="1670" spans="1:11" ht="24.95" customHeight="1">
      <c r="A1670" s="1079" t="s">
        <v>4022</v>
      </c>
      <c r="B1670" s="1080" t="s">
        <v>4023</v>
      </c>
      <c r="C1670" s="1085">
        <v>100</v>
      </c>
      <c r="D1670" s="1085">
        <v>87</v>
      </c>
      <c r="E1670" s="1075">
        <f t="shared" si="225"/>
        <v>0.87</v>
      </c>
      <c r="F1670" s="1084"/>
      <c r="G1670" s="1084"/>
      <c r="H1670" s="1077" t="e">
        <f t="shared" si="226"/>
        <v>#DIV/0!</v>
      </c>
      <c r="I1670" s="1083">
        <f t="shared" si="224"/>
        <v>100</v>
      </c>
      <c r="J1670" s="695">
        <f t="shared" si="224"/>
        <v>87</v>
      </c>
      <c r="K1670" s="855">
        <f t="shared" si="227"/>
        <v>0.87</v>
      </c>
    </row>
    <row r="1671" spans="1:11" ht="24.95" customHeight="1">
      <c r="A1671" s="1079" t="s">
        <v>4024</v>
      </c>
      <c r="B1671" s="1080" t="s">
        <v>4025</v>
      </c>
      <c r="C1671" s="1085">
        <v>5</v>
      </c>
      <c r="D1671" s="1085"/>
      <c r="E1671" s="1075">
        <f t="shared" si="225"/>
        <v>0</v>
      </c>
      <c r="F1671" s="1084"/>
      <c r="G1671" s="1084"/>
      <c r="H1671" s="1077" t="e">
        <f t="shared" si="226"/>
        <v>#DIV/0!</v>
      </c>
      <c r="I1671" s="1083">
        <f t="shared" si="224"/>
        <v>5</v>
      </c>
      <c r="J1671" s="695">
        <f t="shared" si="224"/>
        <v>0</v>
      </c>
      <c r="K1671" s="855">
        <f t="shared" si="227"/>
        <v>0</v>
      </c>
    </row>
    <row r="1672" spans="1:11" ht="24.95" customHeight="1">
      <c r="A1672" s="1079" t="s">
        <v>4026</v>
      </c>
      <c r="B1672" s="1080" t="s">
        <v>4027</v>
      </c>
      <c r="C1672" s="1085">
        <v>20</v>
      </c>
      <c r="D1672" s="1085">
        <v>85</v>
      </c>
      <c r="E1672" s="1075">
        <f t="shared" si="225"/>
        <v>4.25</v>
      </c>
      <c r="F1672" s="1084"/>
      <c r="G1672" s="1084"/>
      <c r="H1672" s="1077" t="e">
        <f t="shared" si="226"/>
        <v>#DIV/0!</v>
      </c>
      <c r="I1672" s="1083">
        <f t="shared" si="224"/>
        <v>20</v>
      </c>
      <c r="J1672" s="695">
        <f t="shared" si="224"/>
        <v>85</v>
      </c>
      <c r="K1672" s="855">
        <f t="shared" si="227"/>
        <v>4.25</v>
      </c>
    </row>
    <row r="1673" spans="1:11" ht="24.95" customHeight="1">
      <c r="A1673" s="1079" t="s">
        <v>4028</v>
      </c>
      <c r="B1673" s="1080" t="s">
        <v>4029</v>
      </c>
      <c r="C1673" s="1085">
        <v>6110</v>
      </c>
      <c r="D1673" s="1085">
        <v>3152</v>
      </c>
      <c r="E1673" s="1075">
        <f t="shared" si="225"/>
        <v>0.51587561374795421</v>
      </c>
      <c r="F1673" s="1084">
        <v>170</v>
      </c>
      <c r="G1673" s="1084">
        <v>86</v>
      </c>
      <c r="H1673" s="1077">
        <f t="shared" si="226"/>
        <v>0.50588235294117645</v>
      </c>
      <c r="I1673" s="1083">
        <f t="shared" si="224"/>
        <v>6280</v>
      </c>
      <c r="J1673" s="695">
        <f t="shared" si="224"/>
        <v>3238</v>
      </c>
      <c r="K1673" s="855">
        <f t="shared" si="227"/>
        <v>0.51560509554140133</v>
      </c>
    </row>
    <row r="1674" spans="1:11" ht="24.95" customHeight="1">
      <c r="A1674" s="1079" t="s">
        <v>3617</v>
      </c>
      <c r="B1674" s="1080" t="s">
        <v>4030</v>
      </c>
      <c r="C1674" s="1085">
        <v>12650</v>
      </c>
      <c r="D1674" s="1085">
        <v>5636</v>
      </c>
      <c r="E1674" s="1075">
        <f t="shared" si="225"/>
        <v>0.44553359683794469</v>
      </c>
      <c r="F1674" s="1084">
        <v>300</v>
      </c>
      <c r="G1674" s="1084">
        <v>281</v>
      </c>
      <c r="H1674" s="1077">
        <f t="shared" si="226"/>
        <v>0.93666666666666665</v>
      </c>
      <c r="I1674" s="1083">
        <f t="shared" si="224"/>
        <v>12950</v>
      </c>
      <c r="J1674" s="695">
        <f t="shared" si="224"/>
        <v>5917</v>
      </c>
      <c r="K1674" s="855">
        <f t="shared" si="227"/>
        <v>0.45691119691119692</v>
      </c>
    </row>
    <row r="1675" spans="1:11" ht="24.95" customHeight="1">
      <c r="A1675" s="1079" t="s">
        <v>4031</v>
      </c>
      <c r="B1675" s="1080" t="s">
        <v>3073</v>
      </c>
      <c r="C1675" s="1085">
        <v>1000</v>
      </c>
      <c r="D1675" s="1085">
        <v>837</v>
      </c>
      <c r="E1675" s="1075">
        <f t="shared" si="225"/>
        <v>0.83699999999999997</v>
      </c>
      <c r="F1675" s="1084">
        <v>6</v>
      </c>
      <c r="G1675" s="1084"/>
      <c r="H1675" s="1077">
        <f t="shared" si="226"/>
        <v>0</v>
      </c>
      <c r="I1675" s="1083">
        <f t="shared" si="224"/>
        <v>1006</v>
      </c>
      <c r="J1675" s="695">
        <f t="shared" si="224"/>
        <v>837</v>
      </c>
      <c r="K1675" s="855">
        <f t="shared" si="227"/>
        <v>0.83200795228628233</v>
      </c>
    </row>
    <row r="1676" spans="1:11" ht="24.95" customHeight="1">
      <c r="A1676" s="1079" t="s">
        <v>4032</v>
      </c>
      <c r="B1676" s="1080" t="s">
        <v>4033</v>
      </c>
      <c r="C1676" s="1085">
        <v>1000</v>
      </c>
      <c r="D1676" s="1085">
        <v>483</v>
      </c>
      <c r="E1676" s="1075">
        <f t="shared" si="225"/>
        <v>0.48299999999999998</v>
      </c>
      <c r="F1676" s="1084">
        <v>0</v>
      </c>
      <c r="G1676" s="1084"/>
      <c r="H1676" s="1077" t="e">
        <f t="shared" si="226"/>
        <v>#DIV/0!</v>
      </c>
      <c r="I1676" s="1083">
        <f t="shared" si="224"/>
        <v>1000</v>
      </c>
      <c r="J1676" s="695">
        <f t="shared" si="224"/>
        <v>483</v>
      </c>
      <c r="K1676" s="855">
        <f t="shared" si="227"/>
        <v>0.48299999999999998</v>
      </c>
    </row>
    <row r="1677" spans="1:11" ht="24.95" customHeight="1">
      <c r="A1677" s="1079" t="s">
        <v>4034</v>
      </c>
      <c r="B1677" s="1080" t="s">
        <v>4035</v>
      </c>
      <c r="C1677" s="1085">
        <v>300</v>
      </c>
      <c r="D1677" s="1085">
        <v>176</v>
      </c>
      <c r="E1677" s="1075">
        <f t="shared" si="225"/>
        <v>0.58666666666666667</v>
      </c>
      <c r="F1677" s="1084">
        <v>20</v>
      </c>
      <c r="G1677" s="1084">
        <v>1</v>
      </c>
      <c r="H1677" s="1077">
        <f t="shared" si="226"/>
        <v>0.05</v>
      </c>
      <c r="I1677" s="1083">
        <f t="shared" si="224"/>
        <v>320</v>
      </c>
      <c r="J1677" s="695">
        <f t="shared" si="224"/>
        <v>177</v>
      </c>
      <c r="K1677" s="855">
        <f t="shared" si="227"/>
        <v>0.55312499999999998</v>
      </c>
    </row>
    <row r="1678" spans="1:11" ht="24.95" customHeight="1">
      <c r="A1678" s="1079" t="s">
        <v>4036</v>
      </c>
      <c r="B1678" s="1080" t="s">
        <v>4037</v>
      </c>
      <c r="C1678" s="1085">
        <v>5300</v>
      </c>
      <c r="D1678" s="1085">
        <v>2350</v>
      </c>
      <c r="E1678" s="1075">
        <f t="shared" si="225"/>
        <v>0.44339622641509435</v>
      </c>
      <c r="F1678" s="1084"/>
      <c r="G1678" s="1084"/>
      <c r="H1678" s="1077" t="e">
        <f t="shared" si="226"/>
        <v>#DIV/0!</v>
      </c>
      <c r="I1678" s="1083">
        <f t="shared" si="224"/>
        <v>5300</v>
      </c>
      <c r="J1678" s="695">
        <f t="shared" si="224"/>
        <v>2350</v>
      </c>
      <c r="K1678" s="855">
        <f t="shared" si="227"/>
        <v>0.44339622641509435</v>
      </c>
    </row>
    <row r="1679" spans="1:11" ht="24.95" customHeight="1">
      <c r="A1679" s="1079" t="s">
        <v>4038</v>
      </c>
      <c r="B1679" s="1080" t="s">
        <v>4039</v>
      </c>
      <c r="C1679" s="1085">
        <v>0</v>
      </c>
      <c r="D1679" s="1085"/>
      <c r="E1679" s="1075" t="e">
        <f t="shared" si="225"/>
        <v>#DIV/0!</v>
      </c>
      <c r="F1679" s="1084"/>
      <c r="G1679" s="1084"/>
      <c r="H1679" s="1077" t="e">
        <f t="shared" si="226"/>
        <v>#DIV/0!</v>
      </c>
      <c r="I1679" s="1083">
        <f t="shared" si="224"/>
        <v>0</v>
      </c>
      <c r="J1679" s="695">
        <f t="shared" si="224"/>
        <v>0</v>
      </c>
      <c r="K1679" s="855" t="e">
        <f t="shared" si="227"/>
        <v>#DIV/0!</v>
      </c>
    </row>
    <row r="1680" spans="1:11" ht="24.95" customHeight="1">
      <c r="A1680" s="1079" t="s">
        <v>4040</v>
      </c>
      <c r="B1680" s="1080" t="s">
        <v>4041</v>
      </c>
      <c r="C1680" s="1085">
        <v>10</v>
      </c>
      <c r="D1680" s="1085">
        <v>2</v>
      </c>
      <c r="E1680" s="1075">
        <f t="shared" si="225"/>
        <v>0.2</v>
      </c>
      <c r="F1680" s="1084">
        <v>60</v>
      </c>
      <c r="G1680" s="1084">
        <v>9</v>
      </c>
      <c r="H1680" s="1077">
        <f t="shared" si="226"/>
        <v>0.15</v>
      </c>
      <c r="I1680" s="1083">
        <f t="shared" si="224"/>
        <v>70</v>
      </c>
      <c r="J1680" s="695">
        <f t="shared" si="224"/>
        <v>11</v>
      </c>
      <c r="K1680" s="855">
        <f t="shared" si="227"/>
        <v>0.15714285714285714</v>
      </c>
    </row>
    <row r="1681" spans="1:11" ht="24.95" customHeight="1">
      <c r="A1681" s="1079" t="s">
        <v>4042</v>
      </c>
      <c r="B1681" s="1080" t="s">
        <v>4043</v>
      </c>
      <c r="C1681" s="1085">
        <v>90</v>
      </c>
      <c r="D1681" s="1085">
        <v>8</v>
      </c>
      <c r="E1681" s="1075">
        <f t="shared" si="225"/>
        <v>8.8888888888888892E-2</v>
      </c>
      <c r="F1681" s="1084">
        <v>10</v>
      </c>
      <c r="G1681" s="1084">
        <v>2</v>
      </c>
      <c r="H1681" s="1077">
        <f t="shared" si="226"/>
        <v>0.2</v>
      </c>
      <c r="I1681" s="1083">
        <f t="shared" si="224"/>
        <v>100</v>
      </c>
      <c r="J1681" s="695">
        <f t="shared" si="224"/>
        <v>10</v>
      </c>
      <c r="K1681" s="855">
        <f t="shared" si="227"/>
        <v>0.1</v>
      </c>
    </row>
    <row r="1682" spans="1:11" ht="24.95" customHeight="1">
      <c r="A1682" s="1079" t="s">
        <v>4044</v>
      </c>
      <c r="B1682" s="1080" t="s">
        <v>4045</v>
      </c>
      <c r="C1682" s="1085">
        <v>50</v>
      </c>
      <c r="D1682" s="1085"/>
      <c r="E1682" s="1075">
        <f t="shared" si="225"/>
        <v>0</v>
      </c>
      <c r="F1682" s="1084">
        <v>2</v>
      </c>
      <c r="G1682" s="1084"/>
      <c r="H1682" s="1077">
        <f t="shared" si="226"/>
        <v>0</v>
      </c>
      <c r="I1682" s="1083">
        <f t="shared" si="224"/>
        <v>52</v>
      </c>
      <c r="J1682" s="695">
        <f t="shared" si="224"/>
        <v>0</v>
      </c>
      <c r="K1682" s="855">
        <f t="shared" si="227"/>
        <v>0</v>
      </c>
    </row>
    <row r="1683" spans="1:11" ht="24.95" customHeight="1">
      <c r="A1683" s="1079" t="s">
        <v>4046</v>
      </c>
      <c r="B1683" s="1086" t="s">
        <v>4047</v>
      </c>
      <c r="C1683" s="1085">
        <v>0</v>
      </c>
      <c r="D1683" s="1085"/>
      <c r="E1683" s="1075" t="e">
        <f t="shared" si="225"/>
        <v>#DIV/0!</v>
      </c>
      <c r="F1683" s="1084">
        <v>10</v>
      </c>
      <c r="G1683" s="1084"/>
      <c r="H1683" s="1077">
        <f t="shared" si="226"/>
        <v>0</v>
      </c>
      <c r="I1683" s="1083">
        <f t="shared" si="224"/>
        <v>10</v>
      </c>
      <c r="J1683" s="695">
        <f t="shared" si="224"/>
        <v>0</v>
      </c>
      <c r="K1683" s="855">
        <f t="shared" si="227"/>
        <v>0</v>
      </c>
    </row>
    <row r="1684" spans="1:11" ht="24.95" customHeight="1">
      <c r="A1684" s="1079" t="s">
        <v>4048</v>
      </c>
      <c r="B1684" s="1086" t="s">
        <v>4049</v>
      </c>
      <c r="C1684" s="1085"/>
      <c r="D1684" s="1085"/>
      <c r="E1684" s="1075" t="e">
        <f t="shared" si="225"/>
        <v>#DIV/0!</v>
      </c>
      <c r="F1684" s="1084">
        <v>35</v>
      </c>
      <c r="G1684" s="1084">
        <v>3</v>
      </c>
      <c r="H1684" s="1077">
        <f t="shared" si="226"/>
        <v>8.5714285714285715E-2</v>
      </c>
      <c r="I1684" s="1083">
        <f t="shared" si="224"/>
        <v>35</v>
      </c>
      <c r="J1684" s="695">
        <f t="shared" si="224"/>
        <v>3</v>
      </c>
      <c r="K1684" s="855">
        <f t="shared" si="227"/>
        <v>8.5714285714285715E-2</v>
      </c>
    </row>
    <row r="1685" spans="1:11" ht="24.95" customHeight="1">
      <c r="A1685" s="1079" t="s">
        <v>4050</v>
      </c>
      <c r="B1685" s="1080" t="s">
        <v>4051</v>
      </c>
      <c r="C1685" s="1085">
        <v>6200</v>
      </c>
      <c r="D1685" s="1085">
        <v>2904</v>
      </c>
      <c r="E1685" s="1075">
        <f t="shared" si="225"/>
        <v>0.46838709677419355</v>
      </c>
      <c r="F1685" s="1084">
        <v>3</v>
      </c>
      <c r="G1685" s="1084"/>
      <c r="H1685" s="1077">
        <f t="shared" si="226"/>
        <v>0</v>
      </c>
      <c r="I1685" s="1083">
        <f t="shared" si="224"/>
        <v>6203</v>
      </c>
      <c r="J1685" s="695">
        <f t="shared" si="224"/>
        <v>2904</v>
      </c>
      <c r="K1685" s="855">
        <f t="shared" si="227"/>
        <v>0.46816056746735452</v>
      </c>
    </row>
    <row r="1686" spans="1:11" ht="24.95" customHeight="1">
      <c r="A1686" s="1079" t="s">
        <v>4052</v>
      </c>
      <c r="B1686" s="1080" t="s">
        <v>4053</v>
      </c>
      <c r="C1686" s="1085">
        <v>4700</v>
      </c>
      <c r="D1686" s="1085">
        <v>3614</v>
      </c>
      <c r="E1686" s="1075">
        <f t="shared" si="225"/>
        <v>0.76893617021276595</v>
      </c>
      <c r="F1686" s="1084"/>
      <c r="G1686" s="1084"/>
      <c r="H1686" s="1077" t="e">
        <f t="shared" si="226"/>
        <v>#DIV/0!</v>
      </c>
      <c r="I1686" s="1083">
        <f t="shared" si="224"/>
        <v>4700</v>
      </c>
      <c r="J1686" s="695">
        <f t="shared" si="224"/>
        <v>3614</v>
      </c>
      <c r="K1686" s="855">
        <f t="shared" si="227"/>
        <v>0.76893617021276595</v>
      </c>
    </row>
    <row r="1687" spans="1:11" ht="24.95" customHeight="1">
      <c r="A1687" s="1079" t="s">
        <v>4054</v>
      </c>
      <c r="B1687" s="1080" t="s">
        <v>4055</v>
      </c>
      <c r="C1687" s="1085"/>
      <c r="D1687" s="1085"/>
      <c r="E1687" s="1075" t="e">
        <f t="shared" si="225"/>
        <v>#DIV/0!</v>
      </c>
      <c r="F1687" s="1084">
        <v>0</v>
      </c>
      <c r="G1687" s="1084"/>
      <c r="H1687" s="1077" t="e">
        <f t="shared" si="226"/>
        <v>#DIV/0!</v>
      </c>
      <c r="I1687" s="1083"/>
      <c r="J1687" s="695">
        <f t="shared" ref="J1687:J1717" si="228">+D1687+G1687</f>
        <v>0</v>
      </c>
      <c r="K1687" s="855" t="e">
        <f t="shared" si="227"/>
        <v>#DIV/0!</v>
      </c>
    </row>
    <row r="1688" spans="1:11" ht="24.95" customHeight="1">
      <c r="A1688" s="1079" t="s">
        <v>4056</v>
      </c>
      <c r="B1688" s="1080" t="s">
        <v>4057</v>
      </c>
      <c r="C1688" s="1085"/>
      <c r="D1688" s="1085"/>
      <c r="E1688" s="1075" t="e">
        <f t="shared" si="225"/>
        <v>#DIV/0!</v>
      </c>
      <c r="F1688" s="1082">
        <v>20</v>
      </c>
      <c r="G1688" s="1082">
        <v>24</v>
      </c>
      <c r="H1688" s="1077">
        <f t="shared" si="226"/>
        <v>1.2</v>
      </c>
      <c r="I1688" s="1083">
        <f t="shared" ref="I1688:I1711" si="229">+C1688+F1688</f>
        <v>20</v>
      </c>
      <c r="J1688" s="695">
        <f t="shared" si="228"/>
        <v>24</v>
      </c>
      <c r="K1688" s="855">
        <f t="shared" si="227"/>
        <v>1.2</v>
      </c>
    </row>
    <row r="1689" spans="1:11" ht="24.95" customHeight="1">
      <c r="A1689" s="1079" t="s">
        <v>4058</v>
      </c>
      <c r="B1689" s="1080" t="s">
        <v>4059</v>
      </c>
      <c r="C1689" s="1085"/>
      <c r="D1689" s="1085"/>
      <c r="E1689" s="1075" t="e">
        <f t="shared" si="225"/>
        <v>#DIV/0!</v>
      </c>
      <c r="F1689" s="1084">
        <v>2300</v>
      </c>
      <c r="G1689" s="1084">
        <v>1012</v>
      </c>
      <c r="H1689" s="1077">
        <f t="shared" si="226"/>
        <v>0.44</v>
      </c>
      <c r="I1689" s="1083">
        <f t="shared" si="229"/>
        <v>2300</v>
      </c>
      <c r="J1689" s="695">
        <f t="shared" si="228"/>
        <v>1012</v>
      </c>
      <c r="K1689" s="855">
        <f t="shared" si="227"/>
        <v>0.44</v>
      </c>
    </row>
    <row r="1690" spans="1:11" ht="24.95" customHeight="1">
      <c r="A1690" s="1079" t="s">
        <v>4060</v>
      </c>
      <c r="B1690" s="1080" t="s">
        <v>4061</v>
      </c>
      <c r="C1690" s="1081">
        <v>2</v>
      </c>
      <c r="D1690" s="1081"/>
      <c r="E1690" s="1075">
        <f t="shared" si="225"/>
        <v>0</v>
      </c>
      <c r="F1690" s="1084">
        <v>600</v>
      </c>
      <c r="G1690" s="1084">
        <v>427</v>
      </c>
      <c r="H1690" s="1077">
        <f t="shared" si="226"/>
        <v>0.71166666666666667</v>
      </c>
      <c r="I1690" s="1083">
        <f t="shared" si="229"/>
        <v>602</v>
      </c>
      <c r="J1690" s="695">
        <f t="shared" si="228"/>
        <v>427</v>
      </c>
      <c r="K1690" s="855">
        <f t="shared" si="227"/>
        <v>0.70930232558139539</v>
      </c>
    </row>
    <row r="1691" spans="1:11" ht="24.95" customHeight="1">
      <c r="A1691" s="1079" t="s">
        <v>4062</v>
      </c>
      <c r="B1691" s="1080" t="s">
        <v>4063</v>
      </c>
      <c r="C1691" s="1081"/>
      <c r="D1691" s="1081"/>
      <c r="E1691" s="1075" t="e">
        <f t="shared" si="225"/>
        <v>#DIV/0!</v>
      </c>
      <c r="F1691" s="1084">
        <v>0</v>
      </c>
      <c r="G1691" s="1084"/>
      <c r="H1691" s="1077" t="e">
        <f t="shared" si="226"/>
        <v>#DIV/0!</v>
      </c>
      <c r="I1691" s="1083">
        <f t="shared" si="229"/>
        <v>0</v>
      </c>
      <c r="J1691" s="695">
        <f t="shared" si="228"/>
        <v>0</v>
      </c>
      <c r="K1691" s="855" t="e">
        <f t="shared" si="227"/>
        <v>#DIV/0!</v>
      </c>
    </row>
    <row r="1692" spans="1:11" ht="24.95" customHeight="1">
      <c r="A1692" s="1087">
        <v>600813</v>
      </c>
      <c r="B1692" s="1088" t="s">
        <v>4064</v>
      </c>
      <c r="C1692" s="1081"/>
      <c r="D1692" s="1081"/>
      <c r="E1692" s="1075" t="e">
        <f t="shared" si="225"/>
        <v>#DIV/0!</v>
      </c>
      <c r="F1692" s="1084">
        <v>1000</v>
      </c>
      <c r="G1692" s="1084">
        <v>626</v>
      </c>
      <c r="H1692" s="1077">
        <f t="shared" si="226"/>
        <v>0.626</v>
      </c>
      <c r="I1692" s="1083">
        <f t="shared" si="229"/>
        <v>1000</v>
      </c>
      <c r="J1692" s="695">
        <f t="shared" si="228"/>
        <v>626</v>
      </c>
      <c r="K1692" s="855">
        <f t="shared" si="227"/>
        <v>0.626</v>
      </c>
    </row>
    <row r="1693" spans="1:11" ht="24.95" customHeight="1">
      <c r="A1693" s="1072" t="s">
        <v>3798</v>
      </c>
      <c r="B1693" s="1089" t="s">
        <v>3799</v>
      </c>
      <c r="C1693" s="1081">
        <v>3010</v>
      </c>
      <c r="D1693" s="1081">
        <v>1191</v>
      </c>
      <c r="E1693" s="1075">
        <f t="shared" si="225"/>
        <v>0.39568106312292362</v>
      </c>
      <c r="F1693" s="1084"/>
      <c r="G1693" s="1084"/>
      <c r="H1693" s="1077" t="e">
        <f t="shared" si="226"/>
        <v>#DIV/0!</v>
      </c>
      <c r="I1693" s="1083">
        <f t="shared" si="229"/>
        <v>3010</v>
      </c>
      <c r="J1693" s="695">
        <f t="shared" si="228"/>
        <v>1191</v>
      </c>
      <c r="K1693" s="855">
        <f t="shared" si="227"/>
        <v>0.39568106312292362</v>
      </c>
    </row>
    <row r="1694" spans="1:11" ht="24.95" customHeight="1">
      <c r="A1694" s="1072" t="s">
        <v>4065</v>
      </c>
      <c r="B1694" s="1089" t="s">
        <v>4066</v>
      </c>
      <c r="C1694" s="1081">
        <v>520</v>
      </c>
      <c r="D1694" s="1081">
        <v>202</v>
      </c>
      <c r="E1694" s="1075">
        <f t="shared" si="225"/>
        <v>0.38846153846153847</v>
      </c>
      <c r="F1694" s="1084"/>
      <c r="G1694" s="1084"/>
      <c r="H1694" s="1077" t="e">
        <f t="shared" si="226"/>
        <v>#DIV/0!</v>
      </c>
      <c r="I1694" s="1083">
        <f t="shared" si="229"/>
        <v>520</v>
      </c>
      <c r="J1694" s="695">
        <f t="shared" si="228"/>
        <v>202</v>
      </c>
      <c r="K1694" s="855">
        <f t="shared" si="227"/>
        <v>0.38846153846153847</v>
      </c>
    </row>
    <row r="1695" spans="1:11" ht="24.95" customHeight="1">
      <c r="A1695" s="1087" t="s">
        <v>3738</v>
      </c>
      <c r="B1695" s="1090" t="s">
        <v>3739</v>
      </c>
      <c r="C1695" s="1081">
        <v>20</v>
      </c>
      <c r="D1695" s="1081">
        <v>3</v>
      </c>
      <c r="E1695" s="1075">
        <f t="shared" si="225"/>
        <v>0.15</v>
      </c>
      <c r="F1695" s="1084">
        <v>50</v>
      </c>
      <c r="G1695" s="1084">
        <v>97</v>
      </c>
      <c r="H1695" s="1077">
        <f t="shared" si="226"/>
        <v>1.94</v>
      </c>
      <c r="I1695" s="1083">
        <f t="shared" si="229"/>
        <v>70</v>
      </c>
      <c r="J1695" s="695">
        <f t="shared" si="228"/>
        <v>100</v>
      </c>
      <c r="K1695" s="855">
        <f t="shared" si="227"/>
        <v>1.4285714285714286</v>
      </c>
    </row>
    <row r="1696" spans="1:11" ht="24.95" customHeight="1">
      <c r="A1696" s="1087" t="s">
        <v>1933</v>
      </c>
      <c r="B1696" s="1090" t="s">
        <v>4067</v>
      </c>
      <c r="C1696" s="1081">
        <v>2</v>
      </c>
      <c r="D1696" s="1081"/>
      <c r="E1696" s="1075">
        <f t="shared" si="225"/>
        <v>0</v>
      </c>
      <c r="F1696" s="1084">
        <v>220</v>
      </c>
      <c r="G1696" s="1084"/>
      <c r="H1696" s="1077">
        <f t="shared" si="226"/>
        <v>0</v>
      </c>
      <c r="I1696" s="1083">
        <f t="shared" si="229"/>
        <v>222</v>
      </c>
      <c r="J1696" s="695">
        <f t="shared" si="228"/>
        <v>0</v>
      </c>
      <c r="K1696" s="855">
        <f t="shared" si="227"/>
        <v>0</v>
      </c>
    </row>
    <row r="1697" spans="1:11" ht="24.95" customHeight="1">
      <c r="A1697" s="1072" t="s">
        <v>4068</v>
      </c>
      <c r="B1697" s="1089" t="s">
        <v>4069</v>
      </c>
      <c r="C1697" s="1081">
        <v>15</v>
      </c>
      <c r="D1697" s="1081">
        <v>1</v>
      </c>
      <c r="E1697" s="1075">
        <f t="shared" si="225"/>
        <v>6.6666666666666666E-2</v>
      </c>
      <c r="F1697" s="1084">
        <v>3</v>
      </c>
      <c r="G1697" s="1084"/>
      <c r="H1697" s="1077">
        <f t="shared" si="226"/>
        <v>0</v>
      </c>
      <c r="I1697" s="1083">
        <f t="shared" si="229"/>
        <v>18</v>
      </c>
      <c r="J1697" s="695">
        <f t="shared" si="228"/>
        <v>1</v>
      </c>
      <c r="K1697" s="855">
        <f t="shared" si="227"/>
        <v>5.5555555555555552E-2</v>
      </c>
    </row>
    <row r="1698" spans="1:11" ht="24.95" customHeight="1">
      <c r="A1698" s="1091" t="s">
        <v>4070</v>
      </c>
      <c r="B1698" s="1090" t="s">
        <v>4071</v>
      </c>
      <c r="C1698" s="1081">
        <v>855</v>
      </c>
      <c r="D1698" s="1081">
        <v>844</v>
      </c>
      <c r="E1698" s="1075">
        <f t="shared" si="225"/>
        <v>0.98713450292397664</v>
      </c>
      <c r="F1698" s="1084">
        <v>3</v>
      </c>
      <c r="G1698" s="1084"/>
      <c r="H1698" s="1077">
        <f t="shared" si="226"/>
        <v>0</v>
      </c>
      <c r="I1698" s="1083">
        <f t="shared" si="229"/>
        <v>858</v>
      </c>
      <c r="J1698" s="695">
        <f t="shared" si="228"/>
        <v>844</v>
      </c>
      <c r="K1698" s="855">
        <f t="shared" si="227"/>
        <v>0.98368298368298368</v>
      </c>
    </row>
    <row r="1699" spans="1:11" ht="24.95" customHeight="1">
      <c r="A1699" s="1091" t="s">
        <v>4072</v>
      </c>
      <c r="B1699" s="1090" t="s">
        <v>4073</v>
      </c>
      <c r="C1699" s="1081">
        <v>250</v>
      </c>
      <c r="D1699" s="1081">
        <v>206</v>
      </c>
      <c r="E1699" s="1075">
        <f t="shared" si="225"/>
        <v>0.82399999999999995</v>
      </c>
      <c r="F1699" s="1084"/>
      <c r="G1699" s="1084"/>
      <c r="H1699" s="1077" t="e">
        <f t="shared" si="226"/>
        <v>#DIV/0!</v>
      </c>
      <c r="I1699" s="1083">
        <f t="shared" si="229"/>
        <v>250</v>
      </c>
      <c r="J1699" s="695">
        <f t="shared" si="228"/>
        <v>206</v>
      </c>
      <c r="K1699" s="855">
        <f t="shared" si="227"/>
        <v>0.82399999999999995</v>
      </c>
    </row>
    <row r="1700" spans="1:11" ht="24.95" customHeight="1">
      <c r="A1700" s="1087" t="s">
        <v>4074</v>
      </c>
      <c r="B1700" s="1092" t="s">
        <v>4075</v>
      </c>
      <c r="C1700" s="1081">
        <v>580</v>
      </c>
      <c r="D1700" s="1081">
        <v>444</v>
      </c>
      <c r="E1700" s="1075">
        <f t="shared" si="225"/>
        <v>0.76551724137931032</v>
      </c>
      <c r="F1700" s="1084">
        <v>5</v>
      </c>
      <c r="G1700" s="1084"/>
      <c r="H1700" s="1077">
        <f t="shared" si="226"/>
        <v>0</v>
      </c>
      <c r="I1700" s="1083">
        <f t="shared" si="229"/>
        <v>585</v>
      </c>
      <c r="J1700" s="695">
        <f t="shared" si="228"/>
        <v>444</v>
      </c>
      <c r="K1700" s="855">
        <f t="shared" si="227"/>
        <v>0.75897435897435894</v>
      </c>
    </row>
    <row r="1701" spans="1:11" ht="24.95" customHeight="1">
      <c r="A1701" s="1093" t="s">
        <v>4076</v>
      </c>
      <c r="B1701" s="1094" t="s">
        <v>4077</v>
      </c>
      <c r="C1701" s="1081">
        <v>110</v>
      </c>
      <c r="D1701" s="1081">
        <v>60</v>
      </c>
      <c r="E1701" s="1075">
        <f t="shared" si="225"/>
        <v>0.54545454545454541</v>
      </c>
      <c r="F1701" s="1084">
        <v>20</v>
      </c>
      <c r="G1701" s="1084">
        <v>1</v>
      </c>
      <c r="H1701" s="1077">
        <f t="shared" si="226"/>
        <v>0.05</v>
      </c>
      <c r="I1701" s="1083">
        <f t="shared" si="229"/>
        <v>130</v>
      </c>
      <c r="J1701" s="695">
        <f t="shared" si="228"/>
        <v>61</v>
      </c>
      <c r="K1701" s="855">
        <f t="shared" si="227"/>
        <v>0.46923076923076923</v>
      </c>
    </row>
    <row r="1702" spans="1:11" ht="24.95" customHeight="1">
      <c r="A1702" s="1091" t="s">
        <v>4078</v>
      </c>
      <c r="B1702" s="1090" t="s">
        <v>4079</v>
      </c>
      <c r="C1702" s="1081">
        <v>370</v>
      </c>
      <c r="D1702" s="1081">
        <v>418</v>
      </c>
      <c r="E1702" s="1075">
        <f t="shared" si="225"/>
        <v>1.1297297297297297</v>
      </c>
      <c r="F1702" s="1084">
        <v>2</v>
      </c>
      <c r="G1702" s="1084"/>
      <c r="H1702" s="1077">
        <f t="shared" si="226"/>
        <v>0</v>
      </c>
      <c r="I1702" s="1083">
        <f t="shared" si="229"/>
        <v>372</v>
      </c>
      <c r="J1702" s="695">
        <f t="shared" si="228"/>
        <v>418</v>
      </c>
      <c r="K1702" s="855">
        <f t="shared" si="227"/>
        <v>1.1236559139784945</v>
      </c>
    </row>
    <row r="1703" spans="1:11" ht="24.95" customHeight="1">
      <c r="A1703" s="1091" t="s">
        <v>4080</v>
      </c>
      <c r="B1703" s="1090" t="s">
        <v>4081</v>
      </c>
      <c r="C1703" s="1081">
        <v>1500</v>
      </c>
      <c r="D1703" s="1081">
        <v>1122</v>
      </c>
      <c r="E1703" s="1075">
        <f t="shared" si="225"/>
        <v>0.748</v>
      </c>
      <c r="F1703" s="1084">
        <v>5</v>
      </c>
      <c r="G1703" s="1084"/>
      <c r="H1703" s="1077">
        <f t="shared" si="226"/>
        <v>0</v>
      </c>
      <c r="I1703" s="1083">
        <f t="shared" si="229"/>
        <v>1505</v>
      </c>
      <c r="J1703" s="695">
        <f t="shared" si="228"/>
        <v>1122</v>
      </c>
      <c r="K1703" s="855">
        <f t="shared" si="227"/>
        <v>0.74551495016611291</v>
      </c>
    </row>
    <row r="1704" spans="1:11" ht="24.95" customHeight="1">
      <c r="A1704" s="1095" t="s">
        <v>4082</v>
      </c>
      <c r="B1704" s="1096" t="s">
        <v>4083</v>
      </c>
      <c r="C1704" s="1081">
        <v>300</v>
      </c>
      <c r="D1704" s="1081">
        <v>147</v>
      </c>
      <c r="E1704" s="1075">
        <f t="shared" si="225"/>
        <v>0.49</v>
      </c>
      <c r="F1704" s="1084">
        <v>5</v>
      </c>
      <c r="G1704" s="1084">
        <v>4</v>
      </c>
      <c r="H1704" s="1077">
        <f t="shared" si="226"/>
        <v>0.8</v>
      </c>
      <c r="I1704" s="1083">
        <f t="shared" si="229"/>
        <v>305</v>
      </c>
      <c r="J1704" s="695">
        <f t="shared" si="228"/>
        <v>151</v>
      </c>
      <c r="K1704" s="855">
        <f t="shared" si="227"/>
        <v>0.49508196721311476</v>
      </c>
    </row>
    <row r="1705" spans="1:11" ht="24.95" customHeight="1">
      <c r="A1705" s="1095" t="s">
        <v>4084</v>
      </c>
      <c r="B1705" s="1096" t="s">
        <v>4085</v>
      </c>
      <c r="C1705" s="1081">
        <v>20</v>
      </c>
      <c r="D1705" s="1081"/>
      <c r="E1705" s="1075">
        <f t="shared" si="225"/>
        <v>0</v>
      </c>
      <c r="F1705" s="1084"/>
      <c r="G1705" s="1084"/>
      <c r="H1705" s="1077" t="e">
        <f t="shared" si="226"/>
        <v>#DIV/0!</v>
      </c>
      <c r="I1705" s="1083">
        <f t="shared" si="229"/>
        <v>20</v>
      </c>
      <c r="J1705" s="695">
        <f t="shared" si="228"/>
        <v>0</v>
      </c>
      <c r="K1705" s="855">
        <f t="shared" si="227"/>
        <v>0</v>
      </c>
    </row>
    <row r="1706" spans="1:11" ht="24.95" customHeight="1">
      <c r="A1706" s="1095" t="s">
        <v>4086</v>
      </c>
      <c r="B1706" s="1096" t="s">
        <v>4087</v>
      </c>
      <c r="C1706" s="1081">
        <v>385</v>
      </c>
      <c r="D1706" s="1081">
        <v>152</v>
      </c>
      <c r="E1706" s="1075">
        <f t="shared" si="225"/>
        <v>0.39480519480519483</v>
      </c>
      <c r="F1706" s="1084">
        <v>35</v>
      </c>
      <c r="G1706" s="1084">
        <v>2</v>
      </c>
      <c r="H1706" s="1077">
        <f t="shared" si="226"/>
        <v>5.7142857142857141E-2</v>
      </c>
      <c r="I1706" s="1083">
        <f t="shared" si="229"/>
        <v>420</v>
      </c>
      <c r="J1706" s="695">
        <f t="shared" si="228"/>
        <v>154</v>
      </c>
      <c r="K1706" s="855">
        <f t="shared" si="227"/>
        <v>0.36666666666666664</v>
      </c>
    </row>
    <row r="1707" spans="1:11" ht="24.95" customHeight="1">
      <c r="A1707" s="1095" t="s">
        <v>4088</v>
      </c>
      <c r="B1707" s="1096" t="s">
        <v>4089</v>
      </c>
      <c r="C1707" s="1081">
        <v>415</v>
      </c>
      <c r="D1707" s="1081">
        <v>253</v>
      </c>
      <c r="E1707" s="1075">
        <f t="shared" si="225"/>
        <v>0.60963855421686752</v>
      </c>
      <c r="F1707" s="1084">
        <v>1</v>
      </c>
      <c r="G1707" s="1084">
        <v>2</v>
      </c>
      <c r="H1707" s="1077">
        <f t="shared" si="226"/>
        <v>2</v>
      </c>
      <c r="I1707" s="1083">
        <f t="shared" si="229"/>
        <v>416</v>
      </c>
      <c r="J1707" s="695">
        <f t="shared" si="228"/>
        <v>255</v>
      </c>
      <c r="K1707" s="855">
        <f t="shared" si="227"/>
        <v>0.61298076923076927</v>
      </c>
    </row>
    <row r="1708" spans="1:11" ht="24.95" customHeight="1">
      <c r="A1708" s="1095" t="s">
        <v>4090</v>
      </c>
      <c r="B1708" s="1096" t="s">
        <v>4091</v>
      </c>
      <c r="C1708" s="1081">
        <v>2200</v>
      </c>
      <c r="D1708" s="1081">
        <v>1738</v>
      </c>
      <c r="E1708" s="1075">
        <f t="shared" si="225"/>
        <v>0.79</v>
      </c>
      <c r="F1708" s="1084">
        <v>5</v>
      </c>
      <c r="G1708" s="1084">
        <v>19</v>
      </c>
      <c r="H1708" s="1077">
        <f t="shared" si="226"/>
        <v>3.8</v>
      </c>
      <c r="I1708" s="1083">
        <f t="shared" si="229"/>
        <v>2205</v>
      </c>
      <c r="J1708" s="695">
        <f t="shared" si="228"/>
        <v>1757</v>
      </c>
      <c r="K1708" s="855">
        <f t="shared" si="227"/>
        <v>0.79682539682539677</v>
      </c>
    </row>
    <row r="1709" spans="1:11" ht="24.95" customHeight="1">
      <c r="A1709" s="1095" t="s">
        <v>4092</v>
      </c>
      <c r="B1709" s="1096" t="s">
        <v>4093</v>
      </c>
      <c r="C1709" s="1081">
        <v>200</v>
      </c>
      <c r="D1709" s="1081">
        <v>36</v>
      </c>
      <c r="E1709" s="1075">
        <f t="shared" si="225"/>
        <v>0.18</v>
      </c>
      <c r="F1709" s="1084">
        <v>100</v>
      </c>
      <c r="G1709" s="1084">
        <v>85</v>
      </c>
      <c r="H1709" s="1077">
        <f t="shared" si="226"/>
        <v>0.85</v>
      </c>
      <c r="I1709" s="1083">
        <f t="shared" si="229"/>
        <v>300</v>
      </c>
      <c r="J1709" s="695">
        <f t="shared" si="228"/>
        <v>121</v>
      </c>
      <c r="K1709" s="855">
        <f t="shared" si="227"/>
        <v>0.40333333333333332</v>
      </c>
    </row>
    <row r="1710" spans="1:11" ht="24.95" customHeight="1">
      <c r="A1710" s="1091" t="s">
        <v>4094</v>
      </c>
      <c r="B1710" s="1090" t="s">
        <v>4095</v>
      </c>
      <c r="C1710" s="1081">
        <v>40</v>
      </c>
      <c r="D1710" s="1081">
        <v>7</v>
      </c>
      <c r="E1710" s="1075">
        <f t="shared" si="225"/>
        <v>0.17499999999999999</v>
      </c>
      <c r="F1710" s="1084">
        <v>180</v>
      </c>
      <c r="G1710" s="1084">
        <v>64</v>
      </c>
      <c r="H1710" s="1077">
        <f t="shared" si="226"/>
        <v>0.35555555555555557</v>
      </c>
      <c r="I1710" s="1083">
        <f t="shared" si="229"/>
        <v>220</v>
      </c>
      <c r="J1710" s="695">
        <f t="shared" si="228"/>
        <v>71</v>
      </c>
      <c r="K1710" s="855">
        <f t="shared" si="227"/>
        <v>0.32272727272727275</v>
      </c>
    </row>
    <row r="1711" spans="1:11" ht="24.95" customHeight="1">
      <c r="A1711" s="1091" t="s">
        <v>4096</v>
      </c>
      <c r="B1711" s="1090" t="s">
        <v>4097</v>
      </c>
      <c r="C1711" s="1081">
        <v>100</v>
      </c>
      <c r="D1711" s="1081">
        <v>48</v>
      </c>
      <c r="E1711" s="1075">
        <f t="shared" si="225"/>
        <v>0.48</v>
      </c>
      <c r="F1711" s="1084">
        <v>100</v>
      </c>
      <c r="G1711" s="1084">
        <v>105</v>
      </c>
      <c r="H1711" s="1077">
        <f t="shared" si="226"/>
        <v>1.05</v>
      </c>
      <c r="I1711" s="1083">
        <f t="shared" si="229"/>
        <v>200</v>
      </c>
      <c r="J1711" s="695">
        <f t="shared" si="228"/>
        <v>153</v>
      </c>
      <c r="K1711" s="855">
        <f t="shared" si="227"/>
        <v>0.76500000000000001</v>
      </c>
    </row>
    <row r="1712" spans="1:11" ht="24.95" customHeight="1">
      <c r="A1712" s="1091" t="s">
        <v>4098</v>
      </c>
      <c r="B1712" s="1090" t="s">
        <v>4099</v>
      </c>
      <c r="C1712" s="1081">
        <v>2</v>
      </c>
      <c r="D1712" s="1081"/>
      <c r="E1712" s="1075">
        <f t="shared" si="225"/>
        <v>0</v>
      </c>
      <c r="F1712" s="1084"/>
      <c r="G1712" s="1084"/>
      <c r="H1712" s="1077" t="e">
        <f t="shared" si="226"/>
        <v>#DIV/0!</v>
      </c>
      <c r="I1712" s="1083"/>
      <c r="J1712" s="695">
        <f t="shared" si="228"/>
        <v>0</v>
      </c>
      <c r="K1712" s="855" t="e">
        <f t="shared" si="227"/>
        <v>#DIV/0!</v>
      </c>
    </row>
    <row r="1713" spans="1:11" ht="24.95" customHeight="1">
      <c r="A1713" s="1095" t="s">
        <v>2611</v>
      </c>
      <c r="B1713" s="1096" t="s">
        <v>4100</v>
      </c>
      <c r="C1713" s="1081"/>
      <c r="D1713" s="1081"/>
      <c r="E1713" s="1075" t="e">
        <f t="shared" si="225"/>
        <v>#DIV/0!</v>
      </c>
      <c r="F1713" s="1084">
        <v>10</v>
      </c>
      <c r="G1713" s="1084">
        <v>3</v>
      </c>
      <c r="H1713" s="1077">
        <f t="shared" si="226"/>
        <v>0.3</v>
      </c>
      <c r="I1713" s="1083">
        <f>+C1713+F1713</f>
        <v>10</v>
      </c>
      <c r="J1713" s="695">
        <f t="shared" si="228"/>
        <v>3</v>
      </c>
      <c r="K1713" s="855">
        <f t="shared" si="227"/>
        <v>0.3</v>
      </c>
    </row>
    <row r="1714" spans="1:11" ht="24.95" customHeight="1">
      <c r="A1714" s="1097" t="s">
        <v>4101</v>
      </c>
      <c r="B1714" s="1098" t="s">
        <v>4102</v>
      </c>
      <c r="C1714" s="1081">
        <v>8350</v>
      </c>
      <c r="D1714" s="1081">
        <v>3826</v>
      </c>
      <c r="E1714" s="1075">
        <f t="shared" si="225"/>
        <v>0.45820359281437123</v>
      </c>
      <c r="F1714" s="1084">
        <v>3</v>
      </c>
      <c r="G1714" s="1084"/>
      <c r="H1714" s="1077">
        <f t="shared" si="226"/>
        <v>0</v>
      </c>
      <c r="I1714" s="1083">
        <f>+C1714+F1714</f>
        <v>8353</v>
      </c>
      <c r="J1714" s="695">
        <f t="shared" si="228"/>
        <v>3826</v>
      </c>
      <c r="K1714" s="855">
        <f t="shared" si="227"/>
        <v>0.45803902789416978</v>
      </c>
    </row>
    <row r="1715" spans="1:11" ht="24.95" customHeight="1">
      <c r="A1715" s="1097" t="s">
        <v>4103</v>
      </c>
      <c r="B1715" s="1098" t="s">
        <v>4104</v>
      </c>
      <c r="C1715" s="1081">
        <v>7000</v>
      </c>
      <c r="D1715" s="1081">
        <v>3833</v>
      </c>
      <c r="E1715" s="1075">
        <f t="shared" si="225"/>
        <v>0.5475714285714286</v>
      </c>
      <c r="F1715" s="1084"/>
      <c r="G1715" s="1084"/>
      <c r="H1715" s="1077" t="e">
        <f t="shared" si="226"/>
        <v>#DIV/0!</v>
      </c>
      <c r="I1715" s="1083">
        <f>+C1715+F1715</f>
        <v>7000</v>
      </c>
      <c r="J1715" s="695">
        <f t="shared" si="228"/>
        <v>3833</v>
      </c>
      <c r="K1715" s="855">
        <f t="shared" si="227"/>
        <v>0.5475714285714286</v>
      </c>
    </row>
    <row r="1716" spans="1:11" ht="24.95" customHeight="1">
      <c r="A1716" s="1097" t="s">
        <v>4105</v>
      </c>
      <c r="B1716" s="1098" t="s">
        <v>4106</v>
      </c>
      <c r="C1716" s="1081">
        <v>630</v>
      </c>
      <c r="D1716" s="1081">
        <v>204</v>
      </c>
      <c r="E1716" s="1075">
        <f t="shared" si="225"/>
        <v>0.32380952380952382</v>
      </c>
      <c r="F1716" s="1084">
        <v>0</v>
      </c>
      <c r="G1716" s="1084"/>
      <c r="H1716" s="1077" t="e">
        <f t="shared" si="226"/>
        <v>#DIV/0!</v>
      </c>
      <c r="I1716" s="1083">
        <f>+C1716+F1716</f>
        <v>630</v>
      </c>
      <c r="J1716" s="695">
        <f t="shared" si="228"/>
        <v>204</v>
      </c>
      <c r="K1716" s="855">
        <f t="shared" si="227"/>
        <v>0.32380952380952382</v>
      </c>
    </row>
    <row r="1717" spans="1:11" ht="24.95" customHeight="1">
      <c r="A1717" s="1087" t="s">
        <v>4107</v>
      </c>
      <c r="B1717" s="1092" t="s">
        <v>4108</v>
      </c>
      <c r="C1717" s="1081">
        <v>470</v>
      </c>
      <c r="D1717" s="1081">
        <v>357</v>
      </c>
      <c r="E1717" s="1075">
        <f t="shared" ref="E1717:E1719" si="230">+D1717/C1717</f>
        <v>0.75957446808510642</v>
      </c>
      <c r="F1717" s="1084"/>
      <c r="G1717" s="1084"/>
      <c r="H1717" s="1077" t="e">
        <f t="shared" ref="H1717:H1719" si="231">+G1717/F1717</f>
        <v>#DIV/0!</v>
      </c>
      <c r="I1717" s="1083">
        <f>+C1717+F1717</f>
        <v>470</v>
      </c>
      <c r="J1717" s="695">
        <f t="shared" si="228"/>
        <v>357</v>
      </c>
      <c r="K1717" s="855">
        <f t="shared" ref="K1717:K1719" si="232">+J1717/I1717</f>
        <v>0.75957446808510642</v>
      </c>
    </row>
    <row r="1718" spans="1:11" ht="24.95" customHeight="1">
      <c r="A1718" s="1099"/>
      <c r="B1718" s="1100" t="s">
        <v>2</v>
      </c>
      <c r="C1718" s="1101">
        <f t="shared" ref="C1718:D1718" si="233">SUM(C1652:C1717)</f>
        <v>113131</v>
      </c>
      <c r="D1718" s="1101">
        <f t="shared" si="233"/>
        <v>55219</v>
      </c>
      <c r="E1718" s="1075">
        <f t="shared" si="230"/>
        <v>0.48809786884231554</v>
      </c>
      <c r="F1718" s="1101">
        <f t="shared" ref="F1718:J1718" si="234">SUM(F1652:F1717)</f>
        <v>5451</v>
      </c>
      <c r="G1718" s="1101">
        <f t="shared" si="234"/>
        <v>2881</v>
      </c>
      <c r="H1718" s="1077">
        <f t="shared" si="231"/>
        <v>0.52852687580260505</v>
      </c>
      <c r="I1718" s="1101">
        <f t="shared" si="234"/>
        <v>118580</v>
      </c>
      <c r="J1718" s="1101">
        <f t="shared" si="234"/>
        <v>58100</v>
      </c>
      <c r="K1718" s="855">
        <f t="shared" si="232"/>
        <v>0.48996458087367178</v>
      </c>
    </row>
    <row r="1719" spans="1:11" ht="24.95" customHeight="1">
      <c r="A1719" s="1070"/>
      <c r="B1719" s="1102" t="s">
        <v>2671</v>
      </c>
      <c r="C1719" s="1103">
        <f t="shared" ref="C1719:J1719" si="235">+C1718</f>
        <v>113131</v>
      </c>
      <c r="D1719" s="1103">
        <f t="shared" si="235"/>
        <v>55219</v>
      </c>
      <c r="E1719" s="1075">
        <f t="shared" si="230"/>
        <v>0.48809786884231554</v>
      </c>
      <c r="F1719" s="1103">
        <f t="shared" si="235"/>
        <v>5451</v>
      </c>
      <c r="G1719" s="1103">
        <f t="shared" si="235"/>
        <v>2881</v>
      </c>
      <c r="H1719" s="1077">
        <f t="shared" si="231"/>
        <v>0.52852687580260505</v>
      </c>
      <c r="I1719" s="1103">
        <f t="shared" si="235"/>
        <v>118580</v>
      </c>
      <c r="J1719" s="1103">
        <f t="shared" si="235"/>
        <v>58100</v>
      </c>
      <c r="K1719" s="855">
        <f t="shared" si="232"/>
        <v>0.48996458087367178</v>
      </c>
    </row>
    <row r="1720" spans="1:11" ht="24.95" customHeight="1">
      <c r="A1720" s="1104" t="s">
        <v>149</v>
      </c>
      <c r="B1720" s="1104"/>
      <c r="C1720" s="1105"/>
      <c r="D1720" s="1105"/>
      <c r="E1720" s="1106"/>
      <c r="F1720" s="1105"/>
      <c r="G1720" s="1105"/>
      <c r="H1720" s="1106"/>
      <c r="I1720" s="1105"/>
      <c r="K1720" s="882"/>
    </row>
    <row r="1721" spans="1:11" s="741" customFormat="1" ht="24.95" customHeight="1">
      <c r="A1721" s="849"/>
      <c r="B1721" s="850" t="s">
        <v>208</v>
      </c>
      <c r="C1721" s="1960" t="s">
        <v>1852</v>
      </c>
      <c r="D1721" s="1961"/>
      <c r="E1721" s="1961"/>
      <c r="F1721" s="1961"/>
      <c r="G1721" s="1961"/>
      <c r="H1721" s="1961"/>
      <c r="I1721" s="1961"/>
      <c r="J1721" s="1961"/>
      <c r="K1721" s="2093"/>
    </row>
    <row r="1722" spans="1:11" s="741" customFormat="1" ht="24.95" customHeight="1">
      <c r="A1722" s="851"/>
      <c r="B1722" s="852" t="s">
        <v>209</v>
      </c>
      <c r="C1722" s="1958">
        <v>17878735</v>
      </c>
      <c r="D1722" s="1959"/>
      <c r="E1722" s="1959"/>
      <c r="F1722" s="1959"/>
      <c r="G1722" s="1959"/>
      <c r="H1722" s="1959"/>
      <c r="I1722" s="1959"/>
      <c r="J1722" s="1959"/>
      <c r="K1722" s="2093"/>
    </row>
    <row r="1723" spans="1:11" s="741" customFormat="1" ht="24.95" customHeight="1">
      <c r="A1723" s="851"/>
      <c r="B1723" s="852" t="s">
        <v>211</v>
      </c>
      <c r="C1723" s="1960" t="s">
        <v>1812</v>
      </c>
      <c r="D1723" s="1961"/>
      <c r="E1723" s="1961"/>
      <c r="F1723" s="1961"/>
      <c r="G1723" s="1961"/>
      <c r="H1723" s="1961"/>
      <c r="I1723" s="1961"/>
      <c r="J1723" s="1961"/>
      <c r="K1723" s="2093"/>
    </row>
    <row r="1724" spans="1:11" s="741" customFormat="1" ht="24.95" customHeight="1">
      <c r="A1724" s="851"/>
      <c r="B1724" s="852" t="s">
        <v>210</v>
      </c>
      <c r="C1724" s="2042" t="s">
        <v>331</v>
      </c>
      <c r="D1724" s="2043"/>
      <c r="E1724" s="2043"/>
      <c r="F1724" s="2043"/>
      <c r="G1724" s="2043"/>
      <c r="H1724" s="2043"/>
      <c r="I1724" s="2043"/>
      <c r="J1724" s="2043"/>
      <c r="K1724" s="2094"/>
    </row>
    <row r="1725" spans="1:11" s="741" customFormat="1" ht="24.95" customHeight="1">
      <c r="A1725" s="851"/>
      <c r="B1725" s="852" t="s">
        <v>251</v>
      </c>
      <c r="C1725" s="2084" t="s">
        <v>4109</v>
      </c>
      <c r="D1725" s="2085"/>
      <c r="E1725" s="2085"/>
      <c r="F1725" s="2085"/>
      <c r="G1725" s="2085"/>
      <c r="H1725" s="2085"/>
      <c r="I1725" s="2085"/>
      <c r="J1725" s="2085"/>
      <c r="K1725" s="2086"/>
    </row>
    <row r="1726" spans="1:11" ht="24.95" customHeight="1">
      <c r="A1726" s="2087" t="s">
        <v>122</v>
      </c>
      <c r="B1726" s="2087" t="s">
        <v>253</v>
      </c>
      <c r="C1726" s="1935" t="s">
        <v>2038</v>
      </c>
      <c r="D1726" s="1935"/>
      <c r="E1726" s="1935"/>
      <c r="F1726" s="1935" t="s">
        <v>2039</v>
      </c>
      <c r="G1726" s="1935"/>
      <c r="H1726" s="1935"/>
      <c r="I1726" s="1935" t="s">
        <v>90</v>
      </c>
      <c r="J1726" s="1935"/>
      <c r="K1726" s="2089"/>
    </row>
    <row r="1727" spans="1:11" ht="24.95" customHeight="1">
      <c r="A1727" s="2088"/>
      <c r="B1727" s="2088"/>
      <c r="C1727" s="545" t="s">
        <v>368</v>
      </c>
      <c r="D1727" s="547" t="s">
        <v>2040</v>
      </c>
      <c r="E1727" s="546" t="s">
        <v>2041</v>
      </c>
      <c r="F1727" s="545" t="s">
        <v>368</v>
      </c>
      <c r="G1727" s="547" t="s">
        <v>2040</v>
      </c>
      <c r="H1727" s="545" t="s">
        <v>2041</v>
      </c>
      <c r="I1727" s="545" t="s">
        <v>368</v>
      </c>
      <c r="J1727" s="745" t="s">
        <v>2040</v>
      </c>
      <c r="K1727" s="546" t="s">
        <v>2041</v>
      </c>
    </row>
    <row r="1728" spans="1:11" ht="24.95" customHeight="1">
      <c r="A1728" s="1107"/>
      <c r="B1728" s="1108" t="s">
        <v>2372</v>
      </c>
      <c r="C1728" s="2081"/>
      <c r="D1728" s="2082"/>
      <c r="E1728" s="2082"/>
      <c r="F1728" s="2082"/>
      <c r="G1728" s="2082"/>
      <c r="H1728" s="2082"/>
      <c r="I1728" s="2082"/>
      <c r="J1728" s="2082"/>
      <c r="K1728" s="2083"/>
    </row>
    <row r="1729" spans="1:11" ht="24.95" customHeight="1">
      <c r="A1729" s="1109" t="s">
        <v>3509</v>
      </c>
      <c r="B1729" s="1110" t="s">
        <v>4110</v>
      </c>
      <c r="C1729" s="1111">
        <v>1</v>
      </c>
      <c r="D1729" s="1112"/>
      <c r="E1729" s="1113">
        <f>+D1729/C1729</f>
        <v>0</v>
      </c>
      <c r="F1729" s="1112"/>
      <c r="G1729" s="1112"/>
      <c r="H1729" s="1112"/>
      <c r="I1729" s="1114">
        <f t="shared" ref="I1729:I1747" si="236">+C1729+F1729</f>
        <v>1</v>
      </c>
      <c r="J1729" s="1115">
        <f>+D1729</f>
        <v>0</v>
      </c>
      <c r="K1729" s="855">
        <f>+J1729/I1729</f>
        <v>0</v>
      </c>
    </row>
    <row r="1730" spans="1:11" ht="24.95" customHeight="1">
      <c r="A1730" s="1116" t="s">
        <v>2387</v>
      </c>
      <c r="B1730" s="1117" t="s">
        <v>2388</v>
      </c>
      <c r="C1730" s="1111">
        <v>3000</v>
      </c>
      <c r="D1730" s="1112">
        <f>49+1591</f>
        <v>1640</v>
      </c>
      <c r="E1730" s="1113">
        <f t="shared" ref="E1730:E1793" si="237">+D1730/C1730</f>
        <v>0.54666666666666663</v>
      </c>
      <c r="F1730" s="1112"/>
      <c r="G1730" s="1112"/>
      <c r="H1730" s="1112"/>
      <c r="I1730" s="1114">
        <f t="shared" si="236"/>
        <v>3000</v>
      </c>
      <c r="J1730" s="1115">
        <f t="shared" ref="J1730:J1793" si="238">+D1730</f>
        <v>1640</v>
      </c>
      <c r="K1730" s="855">
        <f t="shared" ref="K1730:K1793" si="239">+J1730/I1730</f>
        <v>0.54666666666666663</v>
      </c>
    </row>
    <row r="1731" spans="1:11" ht="24.95" customHeight="1">
      <c r="A1731" s="1116" t="s">
        <v>2391</v>
      </c>
      <c r="B1731" s="1117" t="s">
        <v>2392</v>
      </c>
      <c r="C1731" s="1111">
        <v>100</v>
      </c>
      <c r="D1731" s="1112">
        <v>52</v>
      </c>
      <c r="E1731" s="1113">
        <f t="shared" si="237"/>
        <v>0.52</v>
      </c>
      <c r="F1731" s="1112"/>
      <c r="G1731" s="1112"/>
      <c r="H1731" s="1112"/>
      <c r="I1731" s="1114">
        <f t="shared" si="236"/>
        <v>100</v>
      </c>
      <c r="J1731" s="1115">
        <f t="shared" si="238"/>
        <v>52</v>
      </c>
      <c r="K1731" s="855">
        <f t="shared" si="239"/>
        <v>0.52</v>
      </c>
    </row>
    <row r="1732" spans="1:11" ht="24.95" customHeight="1">
      <c r="A1732" s="1118" t="s">
        <v>2401</v>
      </c>
      <c r="B1732" s="1119" t="s">
        <v>2402</v>
      </c>
      <c r="C1732" s="1111">
        <v>1050</v>
      </c>
      <c r="D1732" s="1112">
        <v>471</v>
      </c>
      <c r="E1732" s="1113">
        <f t="shared" si="237"/>
        <v>0.44857142857142857</v>
      </c>
      <c r="F1732" s="1112"/>
      <c r="G1732" s="1112"/>
      <c r="H1732" s="1112"/>
      <c r="I1732" s="1114">
        <f t="shared" si="236"/>
        <v>1050</v>
      </c>
      <c r="J1732" s="1115">
        <f t="shared" si="238"/>
        <v>471</v>
      </c>
      <c r="K1732" s="855">
        <f t="shared" si="239"/>
        <v>0.44857142857142857</v>
      </c>
    </row>
    <row r="1733" spans="1:11" ht="24.95" customHeight="1">
      <c r="A1733" s="1118" t="s">
        <v>4111</v>
      </c>
      <c r="B1733" s="1120" t="s">
        <v>2412</v>
      </c>
      <c r="C1733" s="1111">
        <v>45</v>
      </c>
      <c r="D1733" s="1112">
        <v>17</v>
      </c>
      <c r="E1733" s="1113">
        <f t="shared" si="237"/>
        <v>0.37777777777777777</v>
      </c>
      <c r="F1733" s="1112"/>
      <c r="G1733" s="1112"/>
      <c r="H1733" s="1112"/>
      <c r="I1733" s="1114">
        <f t="shared" si="236"/>
        <v>45</v>
      </c>
      <c r="J1733" s="1115">
        <f t="shared" si="238"/>
        <v>17</v>
      </c>
      <c r="K1733" s="855">
        <f t="shared" si="239"/>
        <v>0.37777777777777777</v>
      </c>
    </row>
    <row r="1734" spans="1:11" ht="24.95" customHeight="1">
      <c r="A1734" s="1118" t="s">
        <v>2413</v>
      </c>
      <c r="B1734" s="1120" t="s">
        <v>2414</v>
      </c>
      <c r="C1734" s="1111">
        <v>105</v>
      </c>
      <c r="D1734" s="1112">
        <v>39</v>
      </c>
      <c r="E1734" s="1113">
        <f t="shared" si="237"/>
        <v>0.37142857142857144</v>
      </c>
      <c r="F1734" s="1112"/>
      <c r="G1734" s="1112"/>
      <c r="H1734" s="1112"/>
      <c r="I1734" s="1114">
        <f t="shared" si="236"/>
        <v>105</v>
      </c>
      <c r="J1734" s="1115">
        <f t="shared" si="238"/>
        <v>39</v>
      </c>
      <c r="K1734" s="855">
        <f t="shared" si="239"/>
        <v>0.37142857142857144</v>
      </c>
    </row>
    <row r="1735" spans="1:11" ht="24.95" customHeight="1">
      <c r="A1735" s="1121" t="s">
        <v>2417</v>
      </c>
      <c r="B1735" s="1120" t="s">
        <v>4112</v>
      </c>
      <c r="C1735" s="1111">
        <v>45</v>
      </c>
      <c r="D1735" s="1112">
        <v>26</v>
      </c>
      <c r="E1735" s="1113">
        <f t="shared" si="237"/>
        <v>0.57777777777777772</v>
      </c>
      <c r="F1735" s="1112"/>
      <c r="G1735" s="1112"/>
      <c r="H1735" s="1112"/>
      <c r="I1735" s="1114">
        <f t="shared" si="236"/>
        <v>45</v>
      </c>
      <c r="J1735" s="1115">
        <f t="shared" si="238"/>
        <v>26</v>
      </c>
      <c r="K1735" s="855">
        <f t="shared" si="239"/>
        <v>0.57777777777777772</v>
      </c>
    </row>
    <row r="1736" spans="1:11" ht="24.95" customHeight="1">
      <c r="A1736" s="1121" t="s">
        <v>2808</v>
      </c>
      <c r="B1736" s="1120" t="s">
        <v>4113</v>
      </c>
      <c r="C1736" s="1111">
        <v>2</v>
      </c>
      <c r="D1736" s="1112"/>
      <c r="E1736" s="1113">
        <f t="shared" si="237"/>
        <v>0</v>
      </c>
      <c r="F1736" s="1112"/>
      <c r="G1736" s="1112"/>
      <c r="H1736" s="1112"/>
      <c r="I1736" s="1114">
        <f t="shared" si="236"/>
        <v>2</v>
      </c>
      <c r="J1736" s="1115">
        <f t="shared" si="238"/>
        <v>0</v>
      </c>
      <c r="K1736" s="855">
        <f t="shared" si="239"/>
        <v>0</v>
      </c>
    </row>
    <row r="1737" spans="1:11" ht="24.95" customHeight="1">
      <c r="A1737" s="1122" t="s">
        <v>2419</v>
      </c>
      <c r="B1737" s="1119" t="s">
        <v>4114</v>
      </c>
      <c r="C1737" s="1111">
        <v>195</v>
      </c>
      <c r="D1737" s="1112">
        <v>77</v>
      </c>
      <c r="E1737" s="1113">
        <f t="shared" si="237"/>
        <v>0.39487179487179486</v>
      </c>
      <c r="F1737" s="1112"/>
      <c r="G1737" s="1112"/>
      <c r="H1737" s="1112"/>
      <c r="I1737" s="1114">
        <f t="shared" si="236"/>
        <v>195</v>
      </c>
      <c r="J1737" s="1115">
        <f t="shared" si="238"/>
        <v>77</v>
      </c>
      <c r="K1737" s="855">
        <f t="shared" si="239"/>
        <v>0.39487179487179486</v>
      </c>
    </row>
    <row r="1738" spans="1:11" ht="24.95" customHeight="1">
      <c r="A1738" s="1122" t="s">
        <v>2421</v>
      </c>
      <c r="B1738" s="1119" t="s">
        <v>2422</v>
      </c>
      <c r="C1738" s="1111">
        <v>10</v>
      </c>
      <c r="D1738" s="1112">
        <v>3</v>
      </c>
      <c r="E1738" s="1113">
        <f t="shared" si="237"/>
        <v>0.3</v>
      </c>
      <c r="F1738" s="1112"/>
      <c r="G1738" s="1112"/>
      <c r="H1738" s="1112"/>
      <c r="I1738" s="1114">
        <f t="shared" si="236"/>
        <v>10</v>
      </c>
      <c r="J1738" s="1115">
        <f t="shared" si="238"/>
        <v>3</v>
      </c>
      <c r="K1738" s="855">
        <f t="shared" si="239"/>
        <v>0.3</v>
      </c>
    </row>
    <row r="1739" spans="1:11" ht="24.95" customHeight="1">
      <c r="A1739" s="1122" t="s">
        <v>3557</v>
      </c>
      <c r="B1739" s="1119" t="s">
        <v>4115</v>
      </c>
      <c r="C1739" s="1111">
        <v>1705</v>
      </c>
      <c r="D1739" s="1112">
        <f>26+610</f>
        <v>636</v>
      </c>
      <c r="E1739" s="1113">
        <f t="shared" si="237"/>
        <v>0.37302052785923756</v>
      </c>
      <c r="F1739" s="1112"/>
      <c r="G1739" s="1112"/>
      <c r="H1739" s="1112"/>
      <c r="I1739" s="1114">
        <f t="shared" si="236"/>
        <v>1705</v>
      </c>
      <c r="J1739" s="1115">
        <f t="shared" si="238"/>
        <v>636</v>
      </c>
      <c r="K1739" s="855">
        <f t="shared" si="239"/>
        <v>0.37302052785923756</v>
      </c>
    </row>
    <row r="1740" spans="1:11" ht="24.95" customHeight="1">
      <c r="A1740" s="1123" t="s">
        <v>3215</v>
      </c>
      <c r="B1740" s="1124" t="s">
        <v>3216</v>
      </c>
      <c r="C1740" s="1111">
        <v>60</v>
      </c>
      <c r="D1740" s="1112">
        <v>6</v>
      </c>
      <c r="E1740" s="1113">
        <f t="shared" si="237"/>
        <v>0.1</v>
      </c>
      <c r="F1740" s="1112"/>
      <c r="G1740" s="1112"/>
      <c r="H1740" s="1112"/>
      <c r="I1740" s="1114">
        <f t="shared" si="236"/>
        <v>60</v>
      </c>
      <c r="J1740" s="1115">
        <f t="shared" si="238"/>
        <v>6</v>
      </c>
      <c r="K1740" s="855">
        <f t="shared" si="239"/>
        <v>0.1</v>
      </c>
    </row>
    <row r="1741" spans="1:11" ht="24.95" customHeight="1">
      <c r="A1741" s="1122" t="s">
        <v>2423</v>
      </c>
      <c r="B1741" s="1125" t="s">
        <v>2424</v>
      </c>
      <c r="C1741" s="1111">
        <v>5300</v>
      </c>
      <c r="D1741" s="1112">
        <f>53+2056</f>
        <v>2109</v>
      </c>
      <c r="E1741" s="1113">
        <f t="shared" si="237"/>
        <v>0.39792452830188679</v>
      </c>
      <c r="F1741" s="1112"/>
      <c r="G1741" s="1112"/>
      <c r="H1741" s="1112"/>
      <c r="I1741" s="1114">
        <f t="shared" si="236"/>
        <v>5300</v>
      </c>
      <c r="J1741" s="1115">
        <f t="shared" si="238"/>
        <v>2109</v>
      </c>
      <c r="K1741" s="855">
        <f t="shared" si="239"/>
        <v>0.39792452830188679</v>
      </c>
    </row>
    <row r="1742" spans="1:11" ht="24.95" customHeight="1">
      <c r="A1742" s="1122" t="s">
        <v>3563</v>
      </c>
      <c r="B1742" s="1119" t="s">
        <v>3564</v>
      </c>
      <c r="C1742" s="1111">
        <v>2</v>
      </c>
      <c r="D1742" s="1112"/>
      <c r="E1742" s="1113">
        <f t="shared" si="237"/>
        <v>0</v>
      </c>
      <c r="F1742" s="1112"/>
      <c r="G1742" s="1112"/>
      <c r="H1742" s="1112"/>
      <c r="I1742" s="1114">
        <f t="shared" si="236"/>
        <v>2</v>
      </c>
      <c r="J1742" s="1115">
        <f t="shared" si="238"/>
        <v>0</v>
      </c>
      <c r="K1742" s="855">
        <f t="shared" si="239"/>
        <v>0</v>
      </c>
    </row>
    <row r="1743" spans="1:11" ht="24.95" customHeight="1">
      <c r="A1743" s="1122" t="s">
        <v>3567</v>
      </c>
      <c r="B1743" s="1119" t="s">
        <v>3568</v>
      </c>
      <c r="C1743" s="1111">
        <v>25</v>
      </c>
      <c r="D1743" s="1112">
        <v>18</v>
      </c>
      <c r="E1743" s="1113">
        <f t="shared" si="237"/>
        <v>0.72</v>
      </c>
      <c r="F1743" s="1112"/>
      <c r="G1743" s="1112"/>
      <c r="H1743" s="1112"/>
      <c r="I1743" s="1114">
        <f t="shared" si="236"/>
        <v>25</v>
      </c>
      <c r="J1743" s="1115">
        <f t="shared" si="238"/>
        <v>18</v>
      </c>
      <c r="K1743" s="855">
        <f t="shared" si="239"/>
        <v>0.72</v>
      </c>
    </row>
    <row r="1744" spans="1:11" ht="24.95" customHeight="1">
      <c r="A1744" s="1126" t="s">
        <v>3231</v>
      </c>
      <c r="B1744" s="1127" t="s">
        <v>3232</v>
      </c>
      <c r="C1744" s="1111">
        <v>20</v>
      </c>
      <c r="D1744" s="1112">
        <v>8</v>
      </c>
      <c r="E1744" s="1113">
        <f t="shared" si="237"/>
        <v>0.4</v>
      </c>
      <c r="F1744" s="1112"/>
      <c r="G1744" s="1112"/>
      <c r="H1744" s="1112"/>
      <c r="I1744" s="1114">
        <f t="shared" si="236"/>
        <v>20</v>
      </c>
      <c r="J1744" s="1115">
        <f t="shared" si="238"/>
        <v>8</v>
      </c>
      <c r="K1744" s="855">
        <f t="shared" si="239"/>
        <v>0.4</v>
      </c>
    </row>
    <row r="1745" spans="1:11" ht="24.95" customHeight="1">
      <c r="A1745" s="1126" t="s">
        <v>2815</v>
      </c>
      <c r="B1745" s="1127" t="s">
        <v>3233</v>
      </c>
      <c r="C1745" s="1111">
        <v>5</v>
      </c>
      <c r="D1745" s="1112"/>
      <c r="E1745" s="1113">
        <f t="shared" si="237"/>
        <v>0</v>
      </c>
      <c r="F1745" s="1112"/>
      <c r="G1745" s="1112"/>
      <c r="H1745" s="1112"/>
      <c r="I1745" s="1114">
        <f t="shared" si="236"/>
        <v>5</v>
      </c>
      <c r="J1745" s="1115">
        <f t="shared" si="238"/>
        <v>0</v>
      </c>
      <c r="K1745" s="855">
        <f t="shared" si="239"/>
        <v>0</v>
      </c>
    </row>
    <row r="1746" spans="1:11" ht="24.95" customHeight="1">
      <c r="A1746" s="1126" t="s">
        <v>3581</v>
      </c>
      <c r="B1746" s="1127" t="s">
        <v>3582</v>
      </c>
      <c r="C1746" s="1111">
        <v>2</v>
      </c>
      <c r="D1746" s="1112"/>
      <c r="E1746" s="1113">
        <f t="shared" si="237"/>
        <v>0</v>
      </c>
      <c r="F1746" s="1112"/>
      <c r="G1746" s="1112"/>
      <c r="H1746" s="1112"/>
      <c r="I1746" s="1114">
        <f t="shared" si="236"/>
        <v>2</v>
      </c>
      <c r="J1746" s="1115">
        <f t="shared" si="238"/>
        <v>0</v>
      </c>
      <c r="K1746" s="855">
        <f t="shared" si="239"/>
        <v>0</v>
      </c>
    </row>
    <row r="1747" spans="1:11" ht="24.95" customHeight="1">
      <c r="A1747" s="1128" t="s">
        <v>4116</v>
      </c>
      <c r="B1747" s="1129" t="s">
        <v>4117</v>
      </c>
      <c r="C1747" s="1111"/>
      <c r="D1747" s="1112"/>
      <c r="E1747" s="1113" t="e">
        <f t="shared" si="237"/>
        <v>#DIV/0!</v>
      </c>
      <c r="F1747" s="1112"/>
      <c r="G1747" s="1112"/>
      <c r="H1747" s="1112"/>
      <c r="I1747" s="1114">
        <f t="shared" si="236"/>
        <v>0</v>
      </c>
      <c r="J1747" s="1115">
        <f t="shared" si="238"/>
        <v>0</v>
      </c>
      <c r="K1747" s="855" t="e">
        <f t="shared" si="239"/>
        <v>#DIV/0!</v>
      </c>
    </row>
    <row r="1748" spans="1:11" ht="24.95" customHeight="1">
      <c r="A1748" s="1128" t="s">
        <v>4118</v>
      </c>
      <c r="B1748" s="1129" t="s">
        <v>4119</v>
      </c>
      <c r="C1748" s="1111">
        <v>5</v>
      </c>
      <c r="D1748" s="1112"/>
      <c r="E1748" s="1113">
        <f t="shared" si="237"/>
        <v>0</v>
      </c>
      <c r="F1748" s="1112"/>
      <c r="G1748" s="1112"/>
      <c r="H1748" s="1112"/>
      <c r="I1748" s="1114"/>
      <c r="J1748" s="1115">
        <f t="shared" si="238"/>
        <v>0</v>
      </c>
      <c r="K1748" s="855" t="e">
        <f t="shared" si="239"/>
        <v>#DIV/0!</v>
      </c>
    </row>
    <row r="1749" spans="1:11" ht="24.95" customHeight="1">
      <c r="A1749" s="1118" t="s">
        <v>3914</v>
      </c>
      <c r="B1749" s="1120" t="s">
        <v>3915</v>
      </c>
      <c r="C1749" s="1111">
        <v>120</v>
      </c>
      <c r="D1749" s="1112">
        <v>49</v>
      </c>
      <c r="E1749" s="1113">
        <f t="shared" si="237"/>
        <v>0.40833333333333333</v>
      </c>
      <c r="F1749" s="1112"/>
      <c r="G1749" s="1112"/>
      <c r="H1749" s="1112"/>
      <c r="I1749" s="1114">
        <f t="shared" ref="I1749:I1777" si="240">+C1749+F1749</f>
        <v>120</v>
      </c>
      <c r="J1749" s="1115">
        <f t="shared" si="238"/>
        <v>49</v>
      </c>
      <c r="K1749" s="855">
        <f t="shared" si="239"/>
        <v>0.40833333333333333</v>
      </c>
    </row>
    <row r="1750" spans="1:11" ht="24.95" customHeight="1">
      <c r="A1750" s="1118" t="s">
        <v>2429</v>
      </c>
      <c r="B1750" s="1120" t="s">
        <v>2430</v>
      </c>
      <c r="C1750" s="1111">
        <v>100</v>
      </c>
      <c r="D1750" s="1112">
        <v>29</v>
      </c>
      <c r="E1750" s="1113">
        <f t="shared" si="237"/>
        <v>0.28999999999999998</v>
      </c>
      <c r="F1750" s="1112"/>
      <c r="G1750" s="1112"/>
      <c r="H1750" s="1112"/>
      <c r="I1750" s="1114">
        <f t="shared" si="240"/>
        <v>100</v>
      </c>
      <c r="J1750" s="1115">
        <f t="shared" si="238"/>
        <v>29</v>
      </c>
      <c r="K1750" s="855">
        <f t="shared" si="239"/>
        <v>0.28999999999999998</v>
      </c>
    </row>
    <row r="1751" spans="1:11" ht="24.95" customHeight="1">
      <c r="A1751" s="1118" t="s">
        <v>4120</v>
      </c>
      <c r="B1751" s="1120" t="s">
        <v>4121</v>
      </c>
      <c r="C1751" s="1112">
        <v>1</v>
      </c>
      <c r="D1751" s="1112"/>
      <c r="E1751" s="1113">
        <f t="shared" si="237"/>
        <v>0</v>
      </c>
      <c r="F1751" s="1112"/>
      <c r="G1751" s="1112"/>
      <c r="H1751" s="1112"/>
      <c r="I1751" s="1114">
        <f t="shared" si="240"/>
        <v>1</v>
      </c>
      <c r="J1751" s="1115">
        <f t="shared" si="238"/>
        <v>0</v>
      </c>
      <c r="K1751" s="855">
        <f t="shared" si="239"/>
        <v>0</v>
      </c>
    </row>
    <row r="1752" spans="1:11" ht="24.95" customHeight="1">
      <c r="A1752" s="1118" t="s">
        <v>4122</v>
      </c>
      <c r="B1752" s="1117" t="s">
        <v>4123</v>
      </c>
      <c r="C1752" s="1111">
        <v>2</v>
      </c>
      <c r="D1752" s="1112"/>
      <c r="E1752" s="1113">
        <f t="shared" si="237"/>
        <v>0</v>
      </c>
      <c r="F1752" s="1112"/>
      <c r="G1752" s="1112"/>
      <c r="H1752" s="1112"/>
      <c r="I1752" s="1114">
        <f t="shared" si="240"/>
        <v>2</v>
      </c>
      <c r="J1752" s="1115">
        <f t="shared" si="238"/>
        <v>0</v>
      </c>
      <c r="K1752" s="855">
        <f t="shared" si="239"/>
        <v>0</v>
      </c>
    </row>
    <row r="1753" spans="1:11" ht="24.95" customHeight="1">
      <c r="A1753" s="1118" t="s">
        <v>4124</v>
      </c>
      <c r="B1753" s="1117" t="s">
        <v>4125</v>
      </c>
      <c r="C1753" s="1111">
        <v>2</v>
      </c>
      <c r="D1753" s="1112"/>
      <c r="E1753" s="1113">
        <f t="shared" si="237"/>
        <v>0</v>
      </c>
      <c r="F1753" s="1112"/>
      <c r="G1753" s="1112"/>
      <c r="H1753" s="1112"/>
      <c r="I1753" s="1114">
        <f t="shared" si="240"/>
        <v>2</v>
      </c>
      <c r="J1753" s="1115">
        <f t="shared" si="238"/>
        <v>0</v>
      </c>
      <c r="K1753" s="855">
        <f t="shared" si="239"/>
        <v>0</v>
      </c>
    </row>
    <row r="1754" spans="1:11" ht="24.95" customHeight="1">
      <c r="A1754" s="1118" t="s">
        <v>4126</v>
      </c>
      <c r="B1754" s="1117" t="s">
        <v>4127</v>
      </c>
      <c r="C1754" s="1111">
        <v>5</v>
      </c>
      <c r="D1754" s="1112">
        <v>1</v>
      </c>
      <c r="E1754" s="1113">
        <f t="shared" si="237"/>
        <v>0.2</v>
      </c>
      <c r="F1754" s="1112"/>
      <c r="G1754" s="1112"/>
      <c r="H1754" s="1112"/>
      <c r="I1754" s="1114">
        <f t="shared" si="240"/>
        <v>5</v>
      </c>
      <c r="J1754" s="1115">
        <f t="shared" si="238"/>
        <v>1</v>
      </c>
      <c r="K1754" s="855">
        <f t="shared" si="239"/>
        <v>0.2</v>
      </c>
    </row>
    <row r="1755" spans="1:11" ht="24.95" customHeight="1">
      <c r="A1755" s="1128" t="s">
        <v>4128</v>
      </c>
      <c r="B1755" s="1129" t="s">
        <v>4129</v>
      </c>
      <c r="C1755" s="1111">
        <v>5</v>
      </c>
      <c r="D1755" s="1112">
        <v>2</v>
      </c>
      <c r="E1755" s="1113">
        <f t="shared" si="237"/>
        <v>0.4</v>
      </c>
      <c r="F1755" s="1112"/>
      <c r="G1755" s="1112"/>
      <c r="H1755" s="1112"/>
      <c r="I1755" s="1114">
        <f t="shared" si="240"/>
        <v>5</v>
      </c>
      <c r="J1755" s="1115">
        <f t="shared" si="238"/>
        <v>2</v>
      </c>
      <c r="K1755" s="855">
        <f t="shared" si="239"/>
        <v>0.4</v>
      </c>
    </row>
    <row r="1756" spans="1:11" ht="24.95" customHeight="1">
      <c r="A1756" s="1128" t="s">
        <v>4130</v>
      </c>
      <c r="B1756" s="1129" t="s">
        <v>4131</v>
      </c>
      <c r="C1756" s="1111">
        <v>2</v>
      </c>
      <c r="D1756" s="1112"/>
      <c r="E1756" s="1113">
        <f t="shared" si="237"/>
        <v>0</v>
      </c>
      <c r="F1756" s="1112"/>
      <c r="G1756" s="1112"/>
      <c r="H1756" s="1112"/>
      <c r="I1756" s="1114">
        <f t="shared" si="240"/>
        <v>2</v>
      </c>
      <c r="J1756" s="1115">
        <f t="shared" si="238"/>
        <v>0</v>
      </c>
      <c r="K1756" s="855">
        <f t="shared" si="239"/>
        <v>0</v>
      </c>
    </row>
    <row r="1757" spans="1:11" ht="24.95" customHeight="1">
      <c r="A1757" s="1128" t="s">
        <v>4132</v>
      </c>
      <c r="B1757" s="1127" t="s">
        <v>4133</v>
      </c>
      <c r="C1757" s="1111">
        <v>4</v>
      </c>
      <c r="D1757" s="1112"/>
      <c r="E1757" s="1113">
        <f t="shared" si="237"/>
        <v>0</v>
      </c>
      <c r="F1757" s="1112"/>
      <c r="G1757" s="1112"/>
      <c r="H1757" s="1112"/>
      <c r="I1757" s="1114">
        <f t="shared" si="240"/>
        <v>4</v>
      </c>
      <c r="J1757" s="1115">
        <f t="shared" si="238"/>
        <v>0</v>
      </c>
      <c r="K1757" s="855">
        <f t="shared" si="239"/>
        <v>0</v>
      </c>
    </row>
    <row r="1758" spans="1:11" ht="24.95" customHeight="1">
      <c r="A1758" s="1128" t="s">
        <v>4134</v>
      </c>
      <c r="B1758" s="1130" t="s">
        <v>4135</v>
      </c>
      <c r="C1758" s="1111">
        <v>4</v>
      </c>
      <c r="D1758" s="1112"/>
      <c r="E1758" s="1113">
        <f t="shared" si="237"/>
        <v>0</v>
      </c>
      <c r="F1758" s="1112"/>
      <c r="G1758" s="1112"/>
      <c r="H1758" s="1112"/>
      <c r="I1758" s="1114">
        <f t="shared" si="240"/>
        <v>4</v>
      </c>
      <c r="J1758" s="1115">
        <f t="shared" si="238"/>
        <v>0</v>
      </c>
      <c r="K1758" s="855">
        <f t="shared" si="239"/>
        <v>0</v>
      </c>
    </row>
    <row r="1759" spans="1:11" ht="24.95" customHeight="1">
      <c r="A1759" s="1128" t="s">
        <v>4136</v>
      </c>
      <c r="B1759" s="1127" t="s">
        <v>4137</v>
      </c>
      <c r="C1759" s="1111">
        <v>2</v>
      </c>
      <c r="D1759" s="1112"/>
      <c r="E1759" s="1113">
        <f t="shared" si="237"/>
        <v>0</v>
      </c>
      <c r="F1759" s="1112"/>
      <c r="G1759" s="1112"/>
      <c r="H1759" s="1112"/>
      <c r="I1759" s="1114">
        <f t="shared" si="240"/>
        <v>2</v>
      </c>
      <c r="J1759" s="1115">
        <f t="shared" si="238"/>
        <v>0</v>
      </c>
      <c r="K1759" s="855">
        <f t="shared" si="239"/>
        <v>0</v>
      </c>
    </row>
    <row r="1760" spans="1:11" ht="24.95" customHeight="1">
      <c r="A1760" s="1118" t="s">
        <v>4138</v>
      </c>
      <c r="B1760" s="1120" t="s">
        <v>4139</v>
      </c>
      <c r="C1760" s="1111">
        <v>5</v>
      </c>
      <c r="D1760" s="1112"/>
      <c r="E1760" s="1113">
        <f t="shared" si="237"/>
        <v>0</v>
      </c>
      <c r="F1760" s="1112"/>
      <c r="G1760" s="1112"/>
      <c r="H1760" s="1112"/>
      <c r="I1760" s="1114">
        <f t="shared" si="240"/>
        <v>5</v>
      </c>
      <c r="J1760" s="1115">
        <f t="shared" si="238"/>
        <v>0</v>
      </c>
      <c r="K1760" s="855">
        <f t="shared" si="239"/>
        <v>0</v>
      </c>
    </row>
    <row r="1761" spans="1:11" ht="24.95" customHeight="1">
      <c r="A1761" s="1116" t="s">
        <v>4140</v>
      </c>
      <c r="B1761" s="1117" t="s">
        <v>4141</v>
      </c>
      <c r="C1761" s="1111">
        <v>280</v>
      </c>
      <c r="D1761" s="1112">
        <f>4+71</f>
        <v>75</v>
      </c>
      <c r="E1761" s="1113">
        <f t="shared" si="237"/>
        <v>0.26785714285714285</v>
      </c>
      <c r="F1761" s="1112"/>
      <c r="G1761" s="1112"/>
      <c r="H1761" s="1112"/>
      <c r="I1761" s="1114">
        <f t="shared" si="240"/>
        <v>280</v>
      </c>
      <c r="J1761" s="1115">
        <f t="shared" si="238"/>
        <v>75</v>
      </c>
      <c r="K1761" s="855">
        <f t="shared" si="239"/>
        <v>0.26785714285714285</v>
      </c>
    </row>
    <row r="1762" spans="1:11" ht="24.95" customHeight="1">
      <c r="A1762" s="1116" t="s">
        <v>2873</v>
      </c>
      <c r="B1762" s="1117" t="s">
        <v>2874</v>
      </c>
      <c r="C1762" s="1111">
        <v>790</v>
      </c>
      <c r="D1762" s="1111">
        <v>345</v>
      </c>
      <c r="E1762" s="1113">
        <f t="shared" si="237"/>
        <v>0.43670886075949367</v>
      </c>
      <c r="F1762" s="1111"/>
      <c r="G1762" s="1111"/>
      <c r="H1762" s="1111"/>
      <c r="I1762" s="1114">
        <f t="shared" si="240"/>
        <v>790</v>
      </c>
      <c r="J1762" s="1115">
        <f t="shared" si="238"/>
        <v>345</v>
      </c>
      <c r="K1762" s="855">
        <f t="shared" si="239"/>
        <v>0.43670886075949367</v>
      </c>
    </row>
    <row r="1763" spans="1:11" ht="24.95" customHeight="1">
      <c r="A1763" s="1116" t="s">
        <v>2439</v>
      </c>
      <c r="B1763" s="1130" t="s">
        <v>2440</v>
      </c>
      <c r="C1763" s="1111">
        <v>3060</v>
      </c>
      <c r="D1763" s="1131">
        <f>1295+42</f>
        <v>1337</v>
      </c>
      <c r="E1763" s="1113">
        <f t="shared" si="237"/>
        <v>0.4369281045751634</v>
      </c>
      <c r="F1763" s="1111"/>
      <c r="G1763" s="1111"/>
      <c r="H1763" s="1111"/>
      <c r="I1763" s="1114">
        <f t="shared" si="240"/>
        <v>3060</v>
      </c>
      <c r="J1763" s="1115">
        <f t="shared" si="238"/>
        <v>1337</v>
      </c>
      <c r="K1763" s="855">
        <f t="shared" si="239"/>
        <v>0.4369281045751634</v>
      </c>
    </row>
    <row r="1764" spans="1:11" ht="24.95" customHeight="1">
      <c r="A1764" s="1116" t="s">
        <v>4142</v>
      </c>
      <c r="B1764" s="1130" t="s">
        <v>4143</v>
      </c>
      <c r="C1764" s="1111">
        <v>1</v>
      </c>
      <c r="D1764" s="1111"/>
      <c r="E1764" s="1113">
        <f t="shared" si="237"/>
        <v>0</v>
      </c>
      <c r="F1764" s="1111"/>
      <c r="G1764" s="1111"/>
      <c r="H1764" s="1111"/>
      <c r="I1764" s="1114">
        <f t="shared" si="240"/>
        <v>1</v>
      </c>
      <c r="J1764" s="1115">
        <f t="shared" si="238"/>
        <v>0</v>
      </c>
      <c r="K1764" s="855">
        <f t="shared" si="239"/>
        <v>0</v>
      </c>
    </row>
    <row r="1765" spans="1:11" ht="24.95" customHeight="1">
      <c r="A1765" s="1116" t="s">
        <v>4144</v>
      </c>
      <c r="B1765" s="1117" t="s">
        <v>4145</v>
      </c>
      <c r="C1765" s="1111"/>
      <c r="D1765" s="1111"/>
      <c r="E1765" s="1113" t="e">
        <f t="shared" si="237"/>
        <v>#DIV/0!</v>
      </c>
      <c r="F1765" s="1111"/>
      <c r="G1765" s="1111"/>
      <c r="H1765" s="1111"/>
      <c r="I1765" s="1114">
        <f t="shared" si="240"/>
        <v>0</v>
      </c>
      <c r="J1765" s="1115">
        <f t="shared" si="238"/>
        <v>0</v>
      </c>
      <c r="K1765" s="855" t="e">
        <f t="shared" si="239"/>
        <v>#DIV/0!</v>
      </c>
    </row>
    <row r="1766" spans="1:11" ht="24.95" customHeight="1">
      <c r="A1766" s="1116" t="s">
        <v>3851</v>
      </c>
      <c r="B1766" s="1117" t="s">
        <v>2450</v>
      </c>
      <c r="C1766" s="1111">
        <v>50</v>
      </c>
      <c r="D1766" s="1112">
        <v>17</v>
      </c>
      <c r="E1766" s="1113">
        <f t="shared" si="237"/>
        <v>0.34</v>
      </c>
      <c r="F1766" s="1112"/>
      <c r="G1766" s="1112"/>
      <c r="H1766" s="1112"/>
      <c r="I1766" s="1114">
        <f t="shared" si="240"/>
        <v>50</v>
      </c>
      <c r="J1766" s="1115">
        <f t="shared" si="238"/>
        <v>17</v>
      </c>
      <c r="K1766" s="855">
        <f t="shared" si="239"/>
        <v>0.34</v>
      </c>
    </row>
    <row r="1767" spans="1:11" ht="24.95" customHeight="1">
      <c r="A1767" s="1118" t="s">
        <v>2451</v>
      </c>
      <c r="B1767" s="1120" t="s">
        <v>2452</v>
      </c>
      <c r="C1767" s="1111">
        <v>45</v>
      </c>
      <c r="D1767" s="1112">
        <v>17</v>
      </c>
      <c r="E1767" s="1113">
        <f t="shared" si="237"/>
        <v>0.37777777777777777</v>
      </c>
      <c r="F1767" s="1112"/>
      <c r="G1767" s="1112"/>
      <c r="H1767" s="1112"/>
      <c r="I1767" s="1114">
        <f t="shared" si="240"/>
        <v>45</v>
      </c>
      <c r="J1767" s="1115">
        <f t="shared" si="238"/>
        <v>17</v>
      </c>
      <c r="K1767" s="855">
        <f t="shared" si="239"/>
        <v>0.37777777777777777</v>
      </c>
    </row>
    <row r="1768" spans="1:11" ht="24.95" customHeight="1">
      <c r="A1768" s="1116" t="s">
        <v>2455</v>
      </c>
      <c r="B1768" s="1117" t="s">
        <v>2456</v>
      </c>
      <c r="C1768" s="1111">
        <v>490</v>
      </c>
      <c r="D1768" s="1112">
        <f>4+179</f>
        <v>183</v>
      </c>
      <c r="E1768" s="1113">
        <f t="shared" si="237"/>
        <v>0.37346938775510202</v>
      </c>
      <c r="F1768" s="1112"/>
      <c r="G1768" s="1112"/>
      <c r="H1768" s="1112"/>
      <c r="I1768" s="1114">
        <f t="shared" si="240"/>
        <v>490</v>
      </c>
      <c r="J1768" s="1115">
        <f t="shared" si="238"/>
        <v>183</v>
      </c>
      <c r="K1768" s="855">
        <f t="shared" si="239"/>
        <v>0.37346938775510202</v>
      </c>
    </row>
    <row r="1769" spans="1:11" ht="24.95" customHeight="1">
      <c r="A1769" s="1116" t="s">
        <v>2459</v>
      </c>
      <c r="B1769" s="1117" t="s">
        <v>2460</v>
      </c>
      <c r="C1769" s="1111">
        <v>55</v>
      </c>
      <c r="D1769" s="1112">
        <v>19</v>
      </c>
      <c r="E1769" s="1113">
        <f t="shared" si="237"/>
        <v>0.34545454545454546</v>
      </c>
      <c r="F1769" s="1112"/>
      <c r="G1769" s="1112"/>
      <c r="H1769" s="1112"/>
      <c r="I1769" s="1114">
        <f t="shared" si="240"/>
        <v>55</v>
      </c>
      <c r="J1769" s="1115">
        <f t="shared" si="238"/>
        <v>19</v>
      </c>
      <c r="K1769" s="855">
        <f t="shared" si="239"/>
        <v>0.34545454545454546</v>
      </c>
    </row>
    <row r="1770" spans="1:11" ht="24.95" customHeight="1">
      <c r="A1770" s="1118" t="s">
        <v>2461</v>
      </c>
      <c r="B1770" s="1120" t="s">
        <v>2462</v>
      </c>
      <c r="C1770" s="1111">
        <v>55</v>
      </c>
      <c r="D1770" s="1112">
        <v>26</v>
      </c>
      <c r="E1770" s="1113">
        <f t="shared" si="237"/>
        <v>0.47272727272727272</v>
      </c>
      <c r="F1770" s="1112"/>
      <c r="G1770" s="1112"/>
      <c r="H1770" s="1112"/>
      <c r="I1770" s="1114">
        <f t="shared" si="240"/>
        <v>55</v>
      </c>
      <c r="J1770" s="1115">
        <f t="shared" si="238"/>
        <v>26</v>
      </c>
      <c r="K1770" s="855">
        <f t="shared" si="239"/>
        <v>0.47272727272727272</v>
      </c>
    </row>
    <row r="1771" spans="1:11" ht="24.95" customHeight="1">
      <c r="A1771" s="1116" t="s">
        <v>4146</v>
      </c>
      <c r="B1771" s="1117" t="s">
        <v>4147</v>
      </c>
      <c r="C1771" s="1111">
        <v>190</v>
      </c>
      <c r="D1771" s="1112">
        <v>71</v>
      </c>
      <c r="E1771" s="1113">
        <f t="shared" si="237"/>
        <v>0.37368421052631579</v>
      </c>
      <c r="F1771" s="1112"/>
      <c r="G1771" s="1112"/>
      <c r="H1771" s="1112"/>
      <c r="I1771" s="1114">
        <f t="shared" si="240"/>
        <v>190</v>
      </c>
      <c r="J1771" s="1115">
        <f t="shared" si="238"/>
        <v>71</v>
      </c>
      <c r="K1771" s="855">
        <f t="shared" si="239"/>
        <v>0.37368421052631579</v>
      </c>
    </row>
    <row r="1772" spans="1:11" ht="24.95" customHeight="1">
      <c r="A1772" s="1116" t="s">
        <v>4148</v>
      </c>
      <c r="B1772" s="1117" t="s">
        <v>4149</v>
      </c>
      <c r="C1772" s="1111">
        <v>10</v>
      </c>
      <c r="D1772" s="1112">
        <v>2</v>
      </c>
      <c r="E1772" s="1113">
        <f t="shared" si="237"/>
        <v>0.2</v>
      </c>
      <c r="F1772" s="1112"/>
      <c r="G1772" s="1112"/>
      <c r="H1772" s="1112"/>
      <c r="I1772" s="1114">
        <f t="shared" si="240"/>
        <v>10</v>
      </c>
      <c r="J1772" s="1115">
        <f t="shared" si="238"/>
        <v>2</v>
      </c>
      <c r="K1772" s="855">
        <f t="shared" si="239"/>
        <v>0.2</v>
      </c>
    </row>
    <row r="1773" spans="1:11" ht="24.95" customHeight="1">
      <c r="A1773" s="1118" t="s">
        <v>2475</v>
      </c>
      <c r="B1773" s="1120" t="s">
        <v>2476</v>
      </c>
      <c r="C1773" s="1111">
        <v>160</v>
      </c>
      <c r="D1773" s="1112">
        <v>84</v>
      </c>
      <c r="E1773" s="1113">
        <f t="shared" si="237"/>
        <v>0.52500000000000002</v>
      </c>
      <c r="F1773" s="1112"/>
      <c r="G1773" s="1112"/>
      <c r="H1773" s="1112"/>
      <c r="I1773" s="1114">
        <f t="shared" si="240"/>
        <v>160</v>
      </c>
      <c r="J1773" s="1115">
        <f t="shared" si="238"/>
        <v>84</v>
      </c>
      <c r="K1773" s="855">
        <f t="shared" si="239"/>
        <v>0.52500000000000002</v>
      </c>
    </row>
    <row r="1774" spans="1:11" ht="24.95" customHeight="1">
      <c r="A1774" s="1116" t="s">
        <v>2933</v>
      </c>
      <c r="B1774" s="1117" t="s">
        <v>2934</v>
      </c>
      <c r="C1774" s="1111">
        <v>50</v>
      </c>
      <c r="D1774" s="1112">
        <v>19</v>
      </c>
      <c r="E1774" s="1113">
        <f t="shared" si="237"/>
        <v>0.38</v>
      </c>
      <c r="F1774" s="1112"/>
      <c r="G1774" s="1112"/>
      <c r="H1774" s="1112"/>
      <c r="I1774" s="1114">
        <f t="shared" si="240"/>
        <v>50</v>
      </c>
      <c r="J1774" s="1115">
        <f t="shared" si="238"/>
        <v>19</v>
      </c>
      <c r="K1774" s="855">
        <f t="shared" si="239"/>
        <v>0.38</v>
      </c>
    </row>
    <row r="1775" spans="1:11" ht="24.95" customHeight="1">
      <c r="A1775" s="1116" t="s">
        <v>2481</v>
      </c>
      <c r="B1775" s="1117" t="s">
        <v>2935</v>
      </c>
      <c r="C1775" s="1111">
        <v>40</v>
      </c>
      <c r="D1775" s="1112">
        <v>13</v>
      </c>
      <c r="E1775" s="1113">
        <f t="shared" si="237"/>
        <v>0.32500000000000001</v>
      </c>
      <c r="F1775" s="1112"/>
      <c r="G1775" s="1112"/>
      <c r="H1775" s="1112"/>
      <c r="I1775" s="1114">
        <f t="shared" si="240"/>
        <v>40</v>
      </c>
      <c r="J1775" s="1115">
        <f t="shared" si="238"/>
        <v>13</v>
      </c>
      <c r="K1775" s="855">
        <f t="shared" si="239"/>
        <v>0.32500000000000001</v>
      </c>
    </row>
    <row r="1776" spans="1:11" ht="24.95" customHeight="1">
      <c r="A1776" s="1118" t="s">
        <v>4150</v>
      </c>
      <c r="B1776" s="1120" t="s">
        <v>2483</v>
      </c>
      <c r="C1776" s="1111">
        <v>75</v>
      </c>
      <c r="D1776" s="1112">
        <v>29</v>
      </c>
      <c r="E1776" s="1113">
        <f t="shared" si="237"/>
        <v>0.38666666666666666</v>
      </c>
      <c r="F1776" s="1112"/>
      <c r="G1776" s="1112"/>
      <c r="H1776" s="1112"/>
      <c r="I1776" s="1114">
        <f t="shared" si="240"/>
        <v>75</v>
      </c>
      <c r="J1776" s="1115">
        <f t="shared" si="238"/>
        <v>29</v>
      </c>
      <c r="K1776" s="855">
        <f t="shared" si="239"/>
        <v>0.38666666666666666</v>
      </c>
    </row>
    <row r="1777" spans="1:11" ht="24.95" customHeight="1">
      <c r="A1777" s="1116" t="s">
        <v>2548</v>
      </c>
      <c r="B1777" s="1117" t="s">
        <v>2549</v>
      </c>
      <c r="C1777" s="1111"/>
      <c r="D1777" s="1112"/>
      <c r="E1777" s="1113" t="e">
        <f t="shared" si="237"/>
        <v>#DIV/0!</v>
      </c>
      <c r="F1777" s="1112"/>
      <c r="G1777" s="1112"/>
      <c r="H1777" s="1112"/>
      <c r="I1777" s="1114">
        <f t="shared" si="240"/>
        <v>0</v>
      </c>
      <c r="J1777" s="1115">
        <f t="shared" si="238"/>
        <v>0</v>
      </c>
      <c r="K1777" s="855" t="e">
        <f t="shared" si="239"/>
        <v>#DIV/0!</v>
      </c>
    </row>
    <row r="1778" spans="1:11" ht="24.95" customHeight="1">
      <c r="A1778" s="1116" t="s">
        <v>2550</v>
      </c>
      <c r="B1778" s="1117" t="s">
        <v>2551</v>
      </c>
      <c r="C1778" s="1111">
        <v>5</v>
      </c>
      <c r="D1778" s="1112"/>
      <c r="E1778" s="1113">
        <f t="shared" si="237"/>
        <v>0</v>
      </c>
      <c r="F1778" s="1112"/>
      <c r="G1778" s="1112"/>
      <c r="H1778" s="1112"/>
      <c r="I1778" s="1114"/>
      <c r="J1778" s="1115">
        <f t="shared" si="238"/>
        <v>0</v>
      </c>
      <c r="K1778" s="855" t="e">
        <f t="shared" si="239"/>
        <v>#DIV/0!</v>
      </c>
    </row>
    <row r="1779" spans="1:11" ht="24.95" customHeight="1">
      <c r="A1779" s="1116" t="s">
        <v>2554</v>
      </c>
      <c r="B1779" s="1117" t="s">
        <v>4151</v>
      </c>
      <c r="C1779" s="1111">
        <v>180</v>
      </c>
      <c r="D1779" s="1112">
        <v>69</v>
      </c>
      <c r="E1779" s="1113">
        <f t="shared" si="237"/>
        <v>0.38333333333333336</v>
      </c>
      <c r="F1779" s="1112"/>
      <c r="G1779" s="1112"/>
      <c r="H1779" s="1112"/>
      <c r="I1779" s="1114">
        <f t="shared" ref="I1779:I1797" si="241">+C1779+F1779</f>
        <v>180</v>
      </c>
      <c r="J1779" s="1115">
        <f t="shared" si="238"/>
        <v>69</v>
      </c>
      <c r="K1779" s="855">
        <f t="shared" si="239"/>
        <v>0.38333333333333336</v>
      </c>
    </row>
    <row r="1780" spans="1:11" ht="24.95" customHeight="1">
      <c r="A1780" s="1116" t="s">
        <v>2946</v>
      </c>
      <c r="B1780" s="1117" t="s">
        <v>2947</v>
      </c>
      <c r="C1780" s="1111">
        <v>5</v>
      </c>
      <c r="D1780" s="1112"/>
      <c r="E1780" s="1113">
        <f t="shared" si="237"/>
        <v>0</v>
      </c>
      <c r="F1780" s="1112"/>
      <c r="G1780" s="1112"/>
      <c r="H1780" s="1112"/>
      <c r="I1780" s="1114">
        <f t="shared" si="241"/>
        <v>5</v>
      </c>
      <c r="J1780" s="1115">
        <f t="shared" si="238"/>
        <v>0</v>
      </c>
      <c r="K1780" s="855">
        <f t="shared" si="239"/>
        <v>0</v>
      </c>
    </row>
    <row r="1781" spans="1:11" ht="24.95" customHeight="1">
      <c r="A1781" s="1116" t="s">
        <v>3940</v>
      </c>
      <c r="B1781" s="1117" t="s">
        <v>4152</v>
      </c>
      <c r="C1781" s="1111">
        <v>4</v>
      </c>
      <c r="D1781" s="1112"/>
      <c r="E1781" s="1113">
        <f t="shared" si="237"/>
        <v>0</v>
      </c>
      <c r="F1781" s="1112"/>
      <c r="G1781" s="1112"/>
      <c r="H1781" s="1112"/>
      <c r="I1781" s="1114">
        <f t="shared" si="241"/>
        <v>4</v>
      </c>
      <c r="J1781" s="1115">
        <f t="shared" si="238"/>
        <v>0</v>
      </c>
      <c r="K1781" s="855">
        <f t="shared" si="239"/>
        <v>0</v>
      </c>
    </row>
    <row r="1782" spans="1:11" ht="24.95" customHeight="1">
      <c r="A1782" s="1116" t="s">
        <v>4153</v>
      </c>
      <c r="B1782" s="1117" t="s">
        <v>3737</v>
      </c>
      <c r="C1782" s="1111">
        <v>50</v>
      </c>
      <c r="D1782" s="1112">
        <v>1</v>
      </c>
      <c r="E1782" s="1113">
        <f t="shared" si="237"/>
        <v>0.02</v>
      </c>
      <c r="F1782" s="1112"/>
      <c r="G1782" s="1112"/>
      <c r="H1782" s="1112"/>
      <c r="I1782" s="1114">
        <f t="shared" si="241"/>
        <v>50</v>
      </c>
      <c r="J1782" s="1115">
        <f t="shared" si="238"/>
        <v>1</v>
      </c>
      <c r="K1782" s="855">
        <f t="shared" si="239"/>
        <v>0.02</v>
      </c>
    </row>
    <row r="1783" spans="1:11" ht="24.95" customHeight="1">
      <c r="A1783" s="1116" t="s">
        <v>3752</v>
      </c>
      <c r="B1783" s="1117" t="s">
        <v>2614</v>
      </c>
      <c r="C1783" s="1111">
        <v>110</v>
      </c>
      <c r="D1783" s="1112">
        <v>34</v>
      </c>
      <c r="E1783" s="1113">
        <f t="shared" si="237"/>
        <v>0.30909090909090908</v>
      </c>
      <c r="F1783" s="1112"/>
      <c r="G1783" s="1112"/>
      <c r="H1783" s="1112"/>
      <c r="I1783" s="1114">
        <f t="shared" si="241"/>
        <v>110</v>
      </c>
      <c r="J1783" s="1115">
        <f t="shared" si="238"/>
        <v>34</v>
      </c>
      <c r="K1783" s="855">
        <f t="shared" si="239"/>
        <v>0.30909090909090908</v>
      </c>
    </row>
    <row r="1784" spans="1:11" ht="24.95" customHeight="1">
      <c r="A1784" s="1116" t="s">
        <v>2615</v>
      </c>
      <c r="B1784" s="1117" t="s">
        <v>3200</v>
      </c>
      <c r="C1784" s="1111">
        <v>1500</v>
      </c>
      <c r="D1784" s="1112"/>
      <c r="E1784" s="1113">
        <f t="shared" si="237"/>
        <v>0</v>
      </c>
      <c r="F1784" s="1112"/>
      <c r="G1784" s="1112"/>
      <c r="H1784" s="1112"/>
      <c r="I1784" s="1114">
        <f t="shared" si="241"/>
        <v>1500</v>
      </c>
      <c r="J1784" s="1115">
        <f t="shared" si="238"/>
        <v>0</v>
      </c>
      <c r="K1784" s="855">
        <f t="shared" si="239"/>
        <v>0</v>
      </c>
    </row>
    <row r="1785" spans="1:11" ht="24.95" customHeight="1">
      <c r="A1785" s="1118" t="s">
        <v>2327</v>
      </c>
      <c r="B1785" s="1120" t="s">
        <v>2328</v>
      </c>
      <c r="C1785" s="1111">
        <v>90</v>
      </c>
      <c r="D1785" s="1112">
        <v>66</v>
      </c>
      <c r="E1785" s="1113">
        <f t="shared" si="237"/>
        <v>0.73333333333333328</v>
      </c>
      <c r="F1785" s="1112"/>
      <c r="G1785" s="1112"/>
      <c r="H1785" s="1112"/>
      <c r="I1785" s="1114">
        <f t="shared" si="241"/>
        <v>90</v>
      </c>
      <c r="J1785" s="1115">
        <f t="shared" si="238"/>
        <v>66</v>
      </c>
      <c r="K1785" s="855">
        <f t="shared" si="239"/>
        <v>0.73333333333333328</v>
      </c>
    </row>
    <row r="1786" spans="1:11" ht="24.95" customHeight="1">
      <c r="A1786" s="1118" t="s">
        <v>2176</v>
      </c>
      <c r="B1786" s="1120" t="s">
        <v>2177</v>
      </c>
      <c r="C1786" s="1111">
        <v>20</v>
      </c>
      <c r="D1786" s="1112">
        <v>5</v>
      </c>
      <c r="E1786" s="1113">
        <f t="shared" si="237"/>
        <v>0.25</v>
      </c>
      <c r="F1786" s="1112"/>
      <c r="G1786" s="1112"/>
      <c r="H1786" s="1112"/>
      <c r="I1786" s="1114">
        <f t="shared" si="241"/>
        <v>20</v>
      </c>
      <c r="J1786" s="1115">
        <f t="shared" si="238"/>
        <v>5</v>
      </c>
      <c r="K1786" s="855">
        <f t="shared" si="239"/>
        <v>0.25</v>
      </c>
    </row>
    <row r="1787" spans="1:11" ht="24.95" customHeight="1">
      <c r="A1787" s="1118" t="s">
        <v>3203</v>
      </c>
      <c r="B1787" s="1120" t="s">
        <v>3204</v>
      </c>
      <c r="C1787" s="1111"/>
      <c r="D1787" s="1112"/>
      <c r="E1787" s="1113" t="e">
        <f t="shared" si="237"/>
        <v>#DIV/0!</v>
      </c>
      <c r="F1787" s="1112"/>
      <c r="G1787" s="1112"/>
      <c r="H1787" s="1112"/>
      <c r="I1787" s="1114">
        <f t="shared" si="241"/>
        <v>0</v>
      </c>
      <c r="J1787" s="1115">
        <f t="shared" si="238"/>
        <v>0</v>
      </c>
      <c r="K1787" s="855" t="e">
        <f t="shared" si="239"/>
        <v>#DIV/0!</v>
      </c>
    </row>
    <row r="1788" spans="1:11" ht="24.95" customHeight="1">
      <c r="A1788" s="1118" t="s">
        <v>2620</v>
      </c>
      <c r="B1788" s="1120" t="s">
        <v>2621</v>
      </c>
      <c r="C1788" s="1111">
        <v>3500</v>
      </c>
      <c r="D1788" s="1132">
        <f>1505+53</f>
        <v>1558</v>
      </c>
      <c r="E1788" s="1113">
        <f t="shared" si="237"/>
        <v>0.44514285714285712</v>
      </c>
      <c r="F1788" s="1112"/>
      <c r="G1788" s="1112"/>
      <c r="H1788" s="1112"/>
      <c r="I1788" s="1114">
        <f t="shared" si="241"/>
        <v>3500</v>
      </c>
      <c r="J1788" s="1115">
        <f t="shared" si="238"/>
        <v>1558</v>
      </c>
      <c r="K1788" s="855">
        <f t="shared" si="239"/>
        <v>0.44514285714285712</v>
      </c>
    </row>
    <row r="1789" spans="1:11" ht="24.95" customHeight="1">
      <c r="A1789" s="1116" t="s">
        <v>2622</v>
      </c>
      <c r="B1789" s="1117" t="s">
        <v>2962</v>
      </c>
      <c r="C1789" s="1111">
        <v>10</v>
      </c>
      <c r="D1789" s="1112">
        <v>3</v>
      </c>
      <c r="E1789" s="1113">
        <f t="shared" si="237"/>
        <v>0.3</v>
      </c>
      <c r="F1789" s="1112"/>
      <c r="G1789" s="1112"/>
      <c r="H1789" s="1112"/>
      <c r="I1789" s="1114">
        <f t="shared" si="241"/>
        <v>10</v>
      </c>
      <c r="J1789" s="1115">
        <f t="shared" si="238"/>
        <v>3</v>
      </c>
      <c r="K1789" s="855">
        <f t="shared" si="239"/>
        <v>0.3</v>
      </c>
    </row>
    <row r="1790" spans="1:11" ht="24.95" customHeight="1">
      <c r="A1790" s="1118" t="s">
        <v>2624</v>
      </c>
      <c r="B1790" s="1120" t="s">
        <v>2330</v>
      </c>
      <c r="C1790" s="1111">
        <v>100</v>
      </c>
      <c r="D1790" s="1112">
        <v>42</v>
      </c>
      <c r="E1790" s="1113">
        <f t="shared" si="237"/>
        <v>0.42</v>
      </c>
      <c r="F1790" s="1112"/>
      <c r="G1790" s="1112"/>
      <c r="H1790" s="1112"/>
      <c r="I1790" s="1114">
        <f t="shared" si="241"/>
        <v>100</v>
      </c>
      <c r="J1790" s="1115">
        <f t="shared" si="238"/>
        <v>42</v>
      </c>
      <c r="K1790" s="855">
        <f t="shared" si="239"/>
        <v>0.42</v>
      </c>
    </row>
    <row r="1791" spans="1:11" ht="24.95" customHeight="1">
      <c r="A1791" s="1116" t="s">
        <v>2331</v>
      </c>
      <c r="B1791" s="1117" t="s">
        <v>2332</v>
      </c>
      <c r="C1791" s="1111">
        <v>610</v>
      </c>
      <c r="D1791" s="1112">
        <v>328</v>
      </c>
      <c r="E1791" s="1113">
        <f t="shared" si="237"/>
        <v>0.53770491803278686</v>
      </c>
      <c r="F1791" s="1112"/>
      <c r="G1791" s="1112"/>
      <c r="H1791" s="1112"/>
      <c r="I1791" s="1114">
        <f t="shared" si="241"/>
        <v>610</v>
      </c>
      <c r="J1791" s="1115">
        <f t="shared" si="238"/>
        <v>328</v>
      </c>
      <c r="K1791" s="855">
        <f t="shared" si="239"/>
        <v>0.53770491803278686</v>
      </c>
    </row>
    <row r="1792" spans="1:11" ht="24.95" customHeight="1">
      <c r="A1792" s="1116" t="s">
        <v>2625</v>
      </c>
      <c r="B1792" s="1117" t="s">
        <v>2626</v>
      </c>
      <c r="C1792" s="1111">
        <v>2</v>
      </c>
      <c r="D1792" s="1112">
        <v>4</v>
      </c>
      <c r="E1792" s="1113">
        <f t="shared" si="237"/>
        <v>2</v>
      </c>
      <c r="F1792" s="1112"/>
      <c r="G1792" s="1112"/>
      <c r="H1792" s="1112"/>
      <c r="I1792" s="1114">
        <f t="shared" si="241"/>
        <v>2</v>
      </c>
      <c r="J1792" s="1115">
        <f t="shared" si="238"/>
        <v>4</v>
      </c>
      <c r="K1792" s="855">
        <f t="shared" si="239"/>
        <v>2</v>
      </c>
    </row>
    <row r="1793" spans="1:11" ht="24.95" customHeight="1">
      <c r="A1793" s="1118" t="s">
        <v>2631</v>
      </c>
      <c r="B1793" s="1120" t="s">
        <v>2632</v>
      </c>
      <c r="C1793" s="1111">
        <v>3600</v>
      </c>
      <c r="D1793" s="1112">
        <f>1426+80</f>
        <v>1506</v>
      </c>
      <c r="E1793" s="1113">
        <f t="shared" si="237"/>
        <v>0.41833333333333333</v>
      </c>
      <c r="F1793" s="1112"/>
      <c r="G1793" s="1112"/>
      <c r="H1793" s="1112"/>
      <c r="I1793" s="1114">
        <f t="shared" si="241"/>
        <v>3600</v>
      </c>
      <c r="J1793" s="1115">
        <f t="shared" si="238"/>
        <v>1506</v>
      </c>
      <c r="K1793" s="855">
        <f t="shared" si="239"/>
        <v>0.41833333333333333</v>
      </c>
    </row>
    <row r="1794" spans="1:11" ht="24.95" customHeight="1">
      <c r="A1794" s="1118" t="s">
        <v>2178</v>
      </c>
      <c r="B1794" s="1120" t="s">
        <v>2179</v>
      </c>
      <c r="C1794" s="1111">
        <v>5500</v>
      </c>
      <c r="D1794" s="1112">
        <f>2697+79</f>
        <v>2776</v>
      </c>
      <c r="E1794" s="1113">
        <f t="shared" ref="E1794:E1799" si="242">+D1794/C1794</f>
        <v>0.50472727272727269</v>
      </c>
      <c r="F1794" s="1112"/>
      <c r="G1794" s="1112"/>
      <c r="H1794" s="1112"/>
      <c r="I1794" s="1114">
        <f t="shared" si="241"/>
        <v>5500</v>
      </c>
      <c r="J1794" s="1115">
        <f t="shared" ref="J1794:J1799" si="243">+D1794</f>
        <v>2776</v>
      </c>
      <c r="K1794" s="855">
        <f t="shared" ref="K1794:K1799" si="244">+J1794/I1794</f>
        <v>0.50472727272727269</v>
      </c>
    </row>
    <row r="1795" spans="1:11" ht="24.95" customHeight="1">
      <c r="A1795" s="1118" t="s">
        <v>2639</v>
      </c>
      <c r="B1795" s="1120" t="s">
        <v>3048</v>
      </c>
      <c r="C1795" s="1111">
        <v>2</v>
      </c>
      <c r="D1795" s="1112"/>
      <c r="E1795" s="1113">
        <f t="shared" si="242"/>
        <v>0</v>
      </c>
      <c r="F1795" s="1112"/>
      <c r="G1795" s="1112"/>
      <c r="H1795" s="1112"/>
      <c r="I1795" s="1114">
        <f t="shared" si="241"/>
        <v>2</v>
      </c>
      <c r="J1795" s="1115">
        <f t="shared" si="243"/>
        <v>0</v>
      </c>
      <c r="K1795" s="855">
        <f t="shared" si="244"/>
        <v>0</v>
      </c>
    </row>
    <row r="1796" spans="1:11" ht="24.95" customHeight="1">
      <c r="A1796" s="1133" t="s">
        <v>4154</v>
      </c>
      <c r="B1796" s="1130" t="s">
        <v>4155</v>
      </c>
      <c r="C1796" s="1111">
        <v>3</v>
      </c>
      <c r="D1796" s="1112"/>
      <c r="E1796" s="1113">
        <f t="shared" si="242"/>
        <v>0</v>
      </c>
      <c r="F1796" s="1112"/>
      <c r="G1796" s="1112"/>
      <c r="H1796" s="1112"/>
      <c r="I1796" s="1114">
        <f t="shared" si="241"/>
        <v>3</v>
      </c>
      <c r="J1796" s="1115">
        <f t="shared" si="243"/>
        <v>0</v>
      </c>
      <c r="K1796" s="855">
        <f t="shared" si="244"/>
        <v>0</v>
      </c>
    </row>
    <row r="1797" spans="1:11" ht="24.95" customHeight="1">
      <c r="A1797" s="1116" t="s">
        <v>2649</v>
      </c>
      <c r="B1797" s="1117" t="s">
        <v>2650</v>
      </c>
      <c r="C1797" s="1111">
        <v>160</v>
      </c>
      <c r="D1797" s="1112"/>
      <c r="E1797" s="1113">
        <f t="shared" si="242"/>
        <v>0</v>
      </c>
      <c r="F1797" s="1134"/>
      <c r="G1797" s="1134"/>
      <c r="H1797" s="1134"/>
      <c r="I1797" s="1114">
        <f t="shared" si="241"/>
        <v>160</v>
      </c>
      <c r="J1797" s="1115">
        <f t="shared" si="243"/>
        <v>0</v>
      </c>
      <c r="K1797" s="855">
        <f t="shared" si="244"/>
        <v>0</v>
      </c>
    </row>
    <row r="1798" spans="1:11" ht="24.95" customHeight="1">
      <c r="A1798" s="1135"/>
      <c r="B1798" s="1136" t="s">
        <v>2</v>
      </c>
      <c r="C1798" s="1137">
        <f t="shared" ref="C1798:I1798" si="245">SUM(C1729:C1797)</f>
        <v>32731</v>
      </c>
      <c r="D1798" s="1137">
        <f t="shared" si="245"/>
        <v>13812</v>
      </c>
      <c r="E1798" s="1113">
        <f t="shared" si="242"/>
        <v>0.42198527389936147</v>
      </c>
      <c r="F1798" s="1137">
        <f t="shared" si="245"/>
        <v>0</v>
      </c>
      <c r="G1798" s="1137"/>
      <c r="H1798" s="1137"/>
      <c r="I1798" s="1138">
        <f t="shared" si="245"/>
        <v>32721</v>
      </c>
      <c r="J1798" s="1115">
        <f t="shared" si="243"/>
        <v>13812</v>
      </c>
      <c r="K1798" s="855">
        <f t="shared" si="244"/>
        <v>0.42211423856239111</v>
      </c>
    </row>
    <row r="1799" spans="1:11" ht="24.95" customHeight="1">
      <c r="A1799" s="1107"/>
      <c r="B1799" s="1139" t="s">
        <v>2671</v>
      </c>
      <c r="C1799" s="1140">
        <f>+C1798</f>
        <v>32731</v>
      </c>
      <c r="D1799" s="1140">
        <f>+D1798</f>
        <v>13812</v>
      </c>
      <c r="E1799" s="1113">
        <f t="shared" si="242"/>
        <v>0.42198527389936147</v>
      </c>
      <c r="F1799" s="1140">
        <f t="shared" ref="F1799:I1799" si="246">+F1798</f>
        <v>0</v>
      </c>
      <c r="G1799" s="1141"/>
      <c r="H1799" s="1141"/>
      <c r="I1799" s="1141">
        <f t="shared" si="246"/>
        <v>32721</v>
      </c>
      <c r="J1799" s="1115">
        <f t="shared" si="243"/>
        <v>13812</v>
      </c>
      <c r="K1799" s="855">
        <f t="shared" si="244"/>
        <v>0.42211423856239111</v>
      </c>
    </row>
    <row r="1800" spans="1:11" ht="24.95" customHeight="1">
      <c r="A1800" s="1142" t="s">
        <v>149</v>
      </c>
      <c r="B1800" s="1142"/>
      <c r="C1800" s="1142"/>
      <c r="D1800" s="1142"/>
      <c r="E1800" s="1143"/>
      <c r="F1800" s="1142"/>
      <c r="G1800" s="1142"/>
      <c r="H1800" s="1142"/>
      <c r="I1800" s="1142"/>
      <c r="J1800" s="1144"/>
      <c r="K1800" s="882"/>
    </row>
    <row r="1801" spans="1:11" ht="24.95" customHeight="1">
      <c r="A1801" s="711" t="s">
        <v>4156</v>
      </c>
      <c r="B1801" s="711"/>
      <c r="C1801" s="1145"/>
      <c r="D1801" s="1145"/>
      <c r="E1801" s="1146"/>
      <c r="F1801" s="1145"/>
      <c r="G1801" s="1145"/>
      <c r="H1801" s="1145"/>
      <c r="I1801" s="1145"/>
      <c r="J1801" s="1144"/>
      <c r="K1801" s="882"/>
    </row>
    <row r="1802" spans="1:11" ht="24.95" customHeight="1">
      <c r="A1802" s="2075" t="s">
        <v>208</v>
      </c>
      <c r="B1802" s="2076"/>
      <c r="C1802" s="1960" t="s">
        <v>1852</v>
      </c>
      <c r="D1802" s="1961"/>
      <c r="E1802" s="1961"/>
      <c r="F1802" s="1961"/>
      <c r="G1802" s="1961"/>
      <c r="H1802" s="1961"/>
      <c r="I1802" s="1961"/>
      <c r="J1802" s="1961"/>
      <c r="K1802" s="1961"/>
    </row>
    <row r="1803" spans="1:11" ht="24.95" customHeight="1">
      <c r="A1803" s="2075" t="s">
        <v>209</v>
      </c>
      <c r="B1803" s="2076"/>
      <c r="C1803" s="1958">
        <v>17878735</v>
      </c>
      <c r="D1803" s="1959"/>
      <c r="E1803" s="1959"/>
      <c r="F1803" s="1959"/>
      <c r="G1803" s="1959"/>
      <c r="H1803" s="1959"/>
      <c r="I1803" s="1959"/>
      <c r="J1803" s="1959"/>
      <c r="K1803" s="1959"/>
    </row>
    <row r="1804" spans="1:11" ht="24.95" customHeight="1">
      <c r="A1804" s="2075" t="s">
        <v>211</v>
      </c>
      <c r="B1804" s="2076"/>
      <c r="C1804" s="1960" t="s">
        <v>1812</v>
      </c>
      <c r="D1804" s="1961"/>
      <c r="E1804" s="1961"/>
      <c r="F1804" s="1961"/>
      <c r="G1804" s="1961"/>
      <c r="H1804" s="1961"/>
      <c r="I1804" s="1961"/>
      <c r="J1804" s="1961"/>
      <c r="K1804" s="1961"/>
    </row>
    <row r="1805" spans="1:11" ht="24.95" customHeight="1">
      <c r="A1805" s="2075" t="s">
        <v>210</v>
      </c>
      <c r="B1805" s="2076"/>
      <c r="C1805" s="1962" t="s">
        <v>331</v>
      </c>
      <c r="D1805" s="1963"/>
      <c r="E1805" s="1963"/>
      <c r="F1805" s="1963"/>
      <c r="G1805" s="1963"/>
      <c r="H1805" s="1963"/>
      <c r="I1805" s="1963"/>
      <c r="J1805" s="1963"/>
      <c r="K1805" s="1963"/>
    </row>
    <row r="1806" spans="1:11" ht="24.95" customHeight="1">
      <c r="A1806" s="2077" t="s">
        <v>251</v>
      </c>
      <c r="B1806" s="2078"/>
      <c r="C1806" s="2079" t="s">
        <v>1842</v>
      </c>
      <c r="D1806" s="2080"/>
      <c r="E1806" s="2080"/>
      <c r="F1806" s="2080"/>
      <c r="G1806" s="2080"/>
      <c r="H1806" s="2080"/>
      <c r="I1806" s="2080"/>
      <c r="J1806" s="2080"/>
      <c r="K1806" s="2080"/>
    </row>
    <row r="1807" spans="1:11" ht="24.95" customHeight="1">
      <c r="A1807" s="2071" t="s">
        <v>122</v>
      </c>
      <c r="B1807" s="2073" t="s">
        <v>253</v>
      </c>
      <c r="C1807" s="1935" t="s">
        <v>2038</v>
      </c>
      <c r="D1807" s="1935"/>
      <c r="E1807" s="1935"/>
      <c r="F1807" s="1935" t="s">
        <v>2039</v>
      </c>
      <c r="G1807" s="1935"/>
      <c r="H1807" s="1935"/>
      <c r="I1807" s="1935" t="s">
        <v>90</v>
      </c>
      <c r="J1807" s="1935"/>
      <c r="K1807" s="1935"/>
    </row>
    <row r="1808" spans="1:11" ht="24.95" customHeight="1">
      <c r="A1808" s="2072"/>
      <c r="B1808" s="2074"/>
      <c r="C1808" s="545" t="s">
        <v>368</v>
      </c>
      <c r="D1808" s="547" t="s">
        <v>2040</v>
      </c>
      <c r="E1808" s="546" t="s">
        <v>2041</v>
      </c>
      <c r="F1808" s="545" t="s">
        <v>368</v>
      </c>
      <c r="G1808" s="547" t="s">
        <v>2040</v>
      </c>
      <c r="H1808" s="546" t="s">
        <v>2041</v>
      </c>
      <c r="I1808" s="545" t="s">
        <v>368</v>
      </c>
      <c r="J1808" s="547" t="s">
        <v>2040</v>
      </c>
      <c r="K1808" s="546" t="s">
        <v>2041</v>
      </c>
    </row>
    <row r="1809" spans="1:11" ht="24.95" customHeight="1">
      <c r="A1809" s="1147"/>
      <c r="B1809" s="1148" t="s">
        <v>2673</v>
      </c>
      <c r="C1809" s="2063"/>
      <c r="D1809" s="2064"/>
      <c r="E1809" s="2064"/>
      <c r="F1809" s="2064"/>
      <c r="G1809" s="2064"/>
      <c r="H1809" s="2064"/>
      <c r="I1809" s="2064"/>
      <c r="J1809" s="2064"/>
      <c r="K1809" s="2064"/>
    </row>
    <row r="1810" spans="1:11" ht="24.95" customHeight="1">
      <c r="A1810" s="1149" t="s">
        <v>4157</v>
      </c>
      <c r="B1810" s="1150" t="s">
        <v>4158</v>
      </c>
      <c r="C1810" s="1151"/>
      <c r="D1810" s="1151"/>
      <c r="E1810" s="1152" t="e">
        <f>+D1810/C1810</f>
        <v>#DIV/0!</v>
      </c>
      <c r="F1810" s="1153">
        <v>1</v>
      </c>
      <c r="G1810" s="1153"/>
      <c r="H1810" s="1154">
        <f>+G1810/F1810</f>
        <v>0</v>
      </c>
      <c r="I1810" s="1155">
        <f t="shared" ref="I1810:J1838" si="247">+C1810+F1810</f>
        <v>1</v>
      </c>
      <c r="J1810" s="695">
        <f>+D1810+G1810</f>
        <v>0</v>
      </c>
      <c r="K1810" s="855">
        <f>+J1810/I1810</f>
        <v>0</v>
      </c>
    </row>
    <row r="1811" spans="1:11" ht="24.95" customHeight="1">
      <c r="A1811" s="1156" t="s">
        <v>4159</v>
      </c>
      <c r="B1811" s="1157" t="s">
        <v>4160</v>
      </c>
      <c r="C1811" s="1158"/>
      <c r="D1811" s="1159"/>
      <c r="E1811" s="1152" t="e">
        <f t="shared" ref="E1811:E1839" si="248">+D1811/C1811</f>
        <v>#DIV/0!</v>
      </c>
      <c r="F1811" s="1159">
        <v>1</v>
      </c>
      <c r="G1811" s="1159"/>
      <c r="H1811" s="1154">
        <f t="shared" ref="H1811:H1839" si="249">+G1811/F1811</f>
        <v>0</v>
      </c>
      <c r="I1811" s="1155">
        <f t="shared" si="247"/>
        <v>1</v>
      </c>
      <c r="J1811" s="695">
        <f t="shared" si="247"/>
        <v>0</v>
      </c>
      <c r="K1811" s="855">
        <f t="shared" ref="K1811:K1839" si="250">+J1811/I1811</f>
        <v>0</v>
      </c>
    </row>
    <row r="1812" spans="1:11" ht="24.95" customHeight="1">
      <c r="A1812" s="1156" t="s">
        <v>4161</v>
      </c>
      <c r="B1812" s="1160" t="s">
        <v>4162</v>
      </c>
      <c r="C1812" s="1158"/>
      <c r="D1812" s="1159"/>
      <c r="E1812" s="1152" t="e">
        <f t="shared" si="248"/>
        <v>#DIV/0!</v>
      </c>
      <c r="F1812" s="1159"/>
      <c r="G1812" s="1159"/>
      <c r="H1812" s="1154" t="e">
        <f t="shared" si="249"/>
        <v>#DIV/0!</v>
      </c>
      <c r="I1812" s="1155">
        <f t="shared" si="247"/>
        <v>0</v>
      </c>
      <c r="J1812" s="695">
        <f t="shared" si="247"/>
        <v>0</v>
      </c>
      <c r="K1812" s="855" t="e">
        <f t="shared" si="250"/>
        <v>#DIV/0!</v>
      </c>
    </row>
    <row r="1813" spans="1:11" ht="24.95" customHeight="1">
      <c r="A1813" s="1156" t="s">
        <v>4163</v>
      </c>
      <c r="B1813" s="1160" t="s">
        <v>4164</v>
      </c>
      <c r="C1813" s="1158"/>
      <c r="D1813" s="1159"/>
      <c r="E1813" s="1152" t="e">
        <f t="shared" si="248"/>
        <v>#DIV/0!</v>
      </c>
      <c r="F1813" s="1159">
        <v>2</v>
      </c>
      <c r="G1813" s="1159"/>
      <c r="H1813" s="1154">
        <f t="shared" si="249"/>
        <v>0</v>
      </c>
      <c r="I1813" s="1155">
        <f t="shared" si="247"/>
        <v>2</v>
      </c>
      <c r="J1813" s="695">
        <f t="shared" si="247"/>
        <v>0</v>
      </c>
      <c r="K1813" s="855">
        <f t="shared" si="250"/>
        <v>0</v>
      </c>
    </row>
    <row r="1814" spans="1:11" ht="24.95" customHeight="1">
      <c r="A1814" s="1161" t="s">
        <v>4165</v>
      </c>
      <c r="B1814" s="1162" t="s">
        <v>4166</v>
      </c>
      <c r="C1814" s="1158"/>
      <c r="D1814" s="1159"/>
      <c r="E1814" s="1152" t="e">
        <f t="shared" si="248"/>
        <v>#DIV/0!</v>
      </c>
      <c r="F1814" s="1159"/>
      <c r="G1814" s="1159"/>
      <c r="H1814" s="1154" t="e">
        <f t="shared" si="249"/>
        <v>#DIV/0!</v>
      </c>
      <c r="I1814" s="1155">
        <f t="shared" si="247"/>
        <v>0</v>
      </c>
      <c r="J1814" s="695">
        <f t="shared" si="247"/>
        <v>0</v>
      </c>
      <c r="K1814" s="855" t="e">
        <f t="shared" si="250"/>
        <v>#DIV/0!</v>
      </c>
    </row>
    <row r="1815" spans="1:11" ht="24.95" customHeight="1">
      <c r="A1815" s="1156" t="s">
        <v>4167</v>
      </c>
      <c r="B1815" s="1163" t="s">
        <v>4168</v>
      </c>
      <c r="C1815" s="1158">
        <v>2</v>
      </c>
      <c r="D1815" s="1159"/>
      <c r="E1815" s="1152">
        <f t="shared" si="248"/>
        <v>0</v>
      </c>
      <c r="F1815" s="1159">
        <v>25</v>
      </c>
      <c r="G1815" s="1159">
        <v>10</v>
      </c>
      <c r="H1815" s="1154">
        <f t="shared" si="249"/>
        <v>0.4</v>
      </c>
      <c r="I1815" s="1155">
        <f t="shared" si="247"/>
        <v>27</v>
      </c>
      <c r="J1815" s="695">
        <f t="shared" si="247"/>
        <v>10</v>
      </c>
      <c r="K1815" s="855">
        <f t="shared" si="250"/>
        <v>0.37037037037037035</v>
      </c>
    </row>
    <row r="1816" spans="1:11" ht="24.95" customHeight="1">
      <c r="A1816" s="1156" t="s">
        <v>4169</v>
      </c>
      <c r="B1816" s="1160" t="s">
        <v>4170</v>
      </c>
      <c r="C1816" s="1158"/>
      <c r="D1816" s="1159"/>
      <c r="E1816" s="1152" t="e">
        <f t="shared" si="248"/>
        <v>#DIV/0!</v>
      </c>
      <c r="F1816" s="1159">
        <v>10</v>
      </c>
      <c r="G1816" s="1159">
        <v>3</v>
      </c>
      <c r="H1816" s="1154">
        <f t="shared" si="249"/>
        <v>0.3</v>
      </c>
      <c r="I1816" s="1155">
        <f t="shared" si="247"/>
        <v>10</v>
      </c>
      <c r="J1816" s="695">
        <f t="shared" si="247"/>
        <v>3</v>
      </c>
      <c r="K1816" s="855">
        <f t="shared" si="250"/>
        <v>0.3</v>
      </c>
    </row>
    <row r="1817" spans="1:11" ht="24.95" customHeight="1">
      <c r="A1817" s="1156" t="s">
        <v>4171</v>
      </c>
      <c r="B1817" s="1157" t="s">
        <v>4172</v>
      </c>
      <c r="C1817" s="1158"/>
      <c r="D1817" s="1159"/>
      <c r="E1817" s="1152" t="e">
        <f t="shared" si="248"/>
        <v>#DIV/0!</v>
      </c>
      <c r="F1817" s="1164">
        <v>4</v>
      </c>
      <c r="G1817" s="1164">
        <v>3</v>
      </c>
      <c r="H1817" s="1154">
        <f t="shared" si="249"/>
        <v>0.75</v>
      </c>
      <c r="I1817" s="1155">
        <f t="shared" si="247"/>
        <v>4</v>
      </c>
      <c r="J1817" s="695">
        <f t="shared" si="247"/>
        <v>3</v>
      </c>
      <c r="K1817" s="855">
        <f t="shared" si="250"/>
        <v>0.75</v>
      </c>
    </row>
    <row r="1818" spans="1:11" ht="24.95" customHeight="1">
      <c r="A1818" s="1156" t="s">
        <v>4173</v>
      </c>
      <c r="B1818" s="1160" t="s">
        <v>4174</v>
      </c>
      <c r="C1818" s="1158"/>
      <c r="D1818" s="1159"/>
      <c r="E1818" s="1152" t="e">
        <f t="shared" si="248"/>
        <v>#DIV/0!</v>
      </c>
      <c r="F1818" s="1159"/>
      <c r="G1818" s="1159"/>
      <c r="H1818" s="1154" t="e">
        <f t="shared" si="249"/>
        <v>#DIV/0!</v>
      </c>
      <c r="I1818" s="1155">
        <f t="shared" si="247"/>
        <v>0</v>
      </c>
      <c r="J1818" s="695">
        <f t="shared" si="247"/>
        <v>0</v>
      </c>
      <c r="K1818" s="855" t="e">
        <f t="shared" si="250"/>
        <v>#DIV/0!</v>
      </c>
    </row>
    <row r="1819" spans="1:11" ht="24.95" customHeight="1">
      <c r="A1819" s="1156" t="s">
        <v>4175</v>
      </c>
      <c r="B1819" s="1160" t="s">
        <v>4176</v>
      </c>
      <c r="C1819" s="1158"/>
      <c r="D1819" s="1159"/>
      <c r="E1819" s="1152" t="e">
        <f t="shared" si="248"/>
        <v>#DIV/0!</v>
      </c>
      <c r="F1819" s="1164">
        <v>5</v>
      </c>
      <c r="G1819" s="1164"/>
      <c r="H1819" s="1154">
        <f t="shared" si="249"/>
        <v>0</v>
      </c>
      <c r="I1819" s="1155">
        <f t="shared" si="247"/>
        <v>5</v>
      </c>
      <c r="J1819" s="695">
        <f t="shared" si="247"/>
        <v>0</v>
      </c>
      <c r="K1819" s="855">
        <f t="shared" si="250"/>
        <v>0</v>
      </c>
    </row>
    <row r="1820" spans="1:11" ht="24.95" customHeight="1">
      <c r="A1820" s="1161" t="s">
        <v>4177</v>
      </c>
      <c r="B1820" s="1162" t="s">
        <v>4178</v>
      </c>
      <c r="C1820" s="1158"/>
      <c r="D1820" s="1159"/>
      <c r="E1820" s="1152" t="e">
        <f t="shared" si="248"/>
        <v>#DIV/0!</v>
      </c>
      <c r="F1820" s="1159"/>
      <c r="G1820" s="1159"/>
      <c r="H1820" s="1154" t="e">
        <f t="shared" si="249"/>
        <v>#DIV/0!</v>
      </c>
      <c r="I1820" s="1155">
        <f t="shared" si="247"/>
        <v>0</v>
      </c>
      <c r="J1820" s="695">
        <f t="shared" si="247"/>
        <v>0</v>
      </c>
      <c r="K1820" s="855" t="e">
        <f t="shared" si="250"/>
        <v>#DIV/0!</v>
      </c>
    </row>
    <row r="1821" spans="1:11" ht="24.95" customHeight="1">
      <c r="A1821" s="1161" t="s">
        <v>4179</v>
      </c>
      <c r="B1821" s="1163" t="s">
        <v>4180</v>
      </c>
      <c r="C1821" s="1158"/>
      <c r="D1821" s="1159"/>
      <c r="E1821" s="1152" t="e">
        <f t="shared" si="248"/>
        <v>#DIV/0!</v>
      </c>
      <c r="F1821" s="1159">
        <v>10</v>
      </c>
      <c r="G1821" s="1159">
        <v>1</v>
      </c>
      <c r="H1821" s="1154">
        <f t="shared" si="249"/>
        <v>0.1</v>
      </c>
      <c r="I1821" s="1155">
        <f t="shared" si="247"/>
        <v>10</v>
      </c>
      <c r="J1821" s="695">
        <f t="shared" si="247"/>
        <v>1</v>
      </c>
      <c r="K1821" s="855">
        <f t="shared" si="250"/>
        <v>0.1</v>
      </c>
    </row>
    <row r="1822" spans="1:11" ht="24.95" customHeight="1">
      <c r="A1822" s="1156" t="s">
        <v>2025</v>
      </c>
      <c r="B1822" s="1163" t="s">
        <v>4181</v>
      </c>
      <c r="C1822" s="1158"/>
      <c r="D1822" s="1159"/>
      <c r="E1822" s="1152" t="e">
        <f t="shared" si="248"/>
        <v>#DIV/0!</v>
      </c>
      <c r="F1822" s="1159">
        <v>110</v>
      </c>
      <c r="G1822" s="1159">
        <v>24</v>
      </c>
      <c r="H1822" s="1154">
        <f t="shared" si="249"/>
        <v>0.21818181818181817</v>
      </c>
      <c r="I1822" s="1155">
        <f t="shared" si="247"/>
        <v>110</v>
      </c>
      <c r="J1822" s="695">
        <f t="shared" si="247"/>
        <v>24</v>
      </c>
      <c r="K1822" s="855">
        <f t="shared" si="250"/>
        <v>0.21818181818181817</v>
      </c>
    </row>
    <row r="1823" spans="1:11" ht="24.95" customHeight="1">
      <c r="A1823" s="1156" t="s">
        <v>2027</v>
      </c>
      <c r="B1823" s="1157" t="s">
        <v>4182</v>
      </c>
      <c r="C1823" s="1158"/>
      <c r="D1823" s="1159"/>
      <c r="E1823" s="1152" t="e">
        <f t="shared" si="248"/>
        <v>#DIV/0!</v>
      </c>
      <c r="F1823" s="1164">
        <v>550</v>
      </c>
      <c r="G1823" s="1164">
        <v>421</v>
      </c>
      <c r="H1823" s="1154">
        <f t="shared" si="249"/>
        <v>0.7654545454545455</v>
      </c>
      <c r="I1823" s="1155">
        <f t="shared" si="247"/>
        <v>550</v>
      </c>
      <c r="J1823" s="695">
        <f t="shared" si="247"/>
        <v>421</v>
      </c>
      <c r="K1823" s="855">
        <f t="shared" si="250"/>
        <v>0.7654545454545455</v>
      </c>
    </row>
    <row r="1824" spans="1:11" ht="24.95" customHeight="1">
      <c r="A1824" s="1156" t="s">
        <v>4183</v>
      </c>
      <c r="B1824" s="1160" t="s">
        <v>4184</v>
      </c>
      <c r="C1824" s="1158"/>
      <c r="D1824" s="1159"/>
      <c r="E1824" s="1152" t="e">
        <f t="shared" si="248"/>
        <v>#DIV/0!</v>
      </c>
      <c r="F1824" s="1164">
        <v>4</v>
      </c>
      <c r="G1824" s="1164">
        <v>4</v>
      </c>
      <c r="H1824" s="1154">
        <f t="shared" si="249"/>
        <v>1</v>
      </c>
      <c r="I1824" s="1155">
        <f t="shared" si="247"/>
        <v>4</v>
      </c>
      <c r="J1824" s="695">
        <f t="shared" si="247"/>
        <v>4</v>
      </c>
      <c r="K1824" s="855">
        <f t="shared" si="250"/>
        <v>1</v>
      </c>
    </row>
    <row r="1825" spans="1:11" ht="24.95" customHeight="1">
      <c r="A1825" s="1156" t="s">
        <v>4185</v>
      </c>
      <c r="B1825" s="1160" t="s">
        <v>4186</v>
      </c>
      <c r="C1825" s="1158"/>
      <c r="D1825" s="1159"/>
      <c r="E1825" s="1152" t="e">
        <f t="shared" si="248"/>
        <v>#DIV/0!</v>
      </c>
      <c r="F1825" s="1164">
        <v>2</v>
      </c>
      <c r="G1825" s="1164"/>
      <c r="H1825" s="1154">
        <f t="shared" si="249"/>
        <v>0</v>
      </c>
      <c r="I1825" s="1155">
        <f t="shared" si="247"/>
        <v>2</v>
      </c>
      <c r="J1825" s="695">
        <f t="shared" si="247"/>
        <v>0</v>
      </c>
      <c r="K1825" s="855">
        <f t="shared" si="250"/>
        <v>0</v>
      </c>
    </row>
    <row r="1826" spans="1:11" ht="24.95" customHeight="1">
      <c r="A1826" s="1165" t="s">
        <v>4187</v>
      </c>
      <c r="B1826" s="1166" t="s">
        <v>4188</v>
      </c>
      <c r="C1826" s="1158"/>
      <c r="D1826" s="1159"/>
      <c r="E1826" s="1152" t="e">
        <f t="shared" si="248"/>
        <v>#DIV/0!</v>
      </c>
      <c r="F1826" s="1164">
        <v>5</v>
      </c>
      <c r="G1826" s="1164">
        <v>4</v>
      </c>
      <c r="H1826" s="1154">
        <f t="shared" si="249"/>
        <v>0.8</v>
      </c>
      <c r="I1826" s="1155">
        <f t="shared" si="247"/>
        <v>5</v>
      </c>
      <c r="J1826" s="695">
        <f t="shared" si="247"/>
        <v>4</v>
      </c>
      <c r="K1826" s="855">
        <f t="shared" si="250"/>
        <v>0.8</v>
      </c>
    </row>
    <row r="1827" spans="1:11" ht="24.95" customHeight="1">
      <c r="A1827" s="1165" t="s">
        <v>4189</v>
      </c>
      <c r="B1827" s="1166" t="s">
        <v>4190</v>
      </c>
      <c r="C1827" s="1158"/>
      <c r="D1827" s="1159"/>
      <c r="E1827" s="1152" t="e">
        <f t="shared" si="248"/>
        <v>#DIV/0!</v>
      </c>
      <c r="F1827" s="1164">
        <v>10</v>
      </c>
      <c r="G1827" s="1164">
        <v>4</v>
      </c>
      <c r="H1827" s="1154">
        <f t="shared" si="249"/>
        <v>0.4</v>
      </c>
      <c r="I1827" s="1155">
        <f t="shared" si="247"/>
        <v>10</v>
      </c>
      <c r="J1827" s="695">
        <f t="shared" si="247"/>
        <v>4</v>
      </c>
      <c r="K1827" s="855">
        <f t="shared" si="250"/>
        <v>0.4</v>
      </c>
    </row>
    <row r="1828" spans="1:11" ht="24.95" customHeight="1">
      <c r="A1828" s="1156" t="s">
        <v>4191</v>
      </c>
      <c r="B1828" s="1160" t="s">
        <v>4192</v>
      </c>
      <c r="C1828" s="1158"/>
      <c r="D1828" s="1159"/>
      <c r="E1828" s="1152" t="e">
        <f t="shared" si="248"/>
        <v>#DIV/0!</v>
      </c>
      <c r="F1828" s="1164">
        <v>10</v>
      </c>
      <c r="G1828" s="1164">
        <v>5</v>
      </c>
      <c r="H1828" s="1154">
        <f t="shared" si="249"/>
        <v>0.5</v>
      </c>
      <c r="I1828" s="1155">
        <f t="shared" si="247"/>
        <v>10</v>
      </c>
      <c r="J1828" s="695">
        <f t="shared" si="247"/>
        <v>5</v>
      </c>
      <c r="K1828" s="855">
        <f t="shared" si="250"/>
        <v>0.5</v>
      </c>
    </row>
    <row r="1829" spans="1:11" ht="24.95" customHeight="1">
      <c r="A1829" s="1156" t="s">
        <v>4193</v>
      </c>
      <c r="B1829" s="1157" t="s">
        <v>4194</v>
      </c>
      <c r="C1829" s="1158"/>
      <c r="D1829" s="1159"/>
      <c r="E1829" s="1152" t="e">
        <f t="shared" si="248"/>
        <v>#DIV/0!</v>
      </c>
      <c r="F1829" s="1164">
        <v>2</v>
      </c>
      <c r="G1829" s="1164"/>
      <c r="H1829" s="1154">
        <f t="shared" si="249"/>
        <v>0</v>
      </c>
      <c r="I1829" s="1155">
        <f t="shared" si="247"/>
        <v>2</v>
      </c>
      <c r="J1829" s="695">
        <f t="shared" si="247"/>
        <v>0</v>
      </c>
      <c r="K1829" s="855">
        <f t="shared" si="250"/>
        <v>0</v>
      </c>
    </row>
    <row r="1830" spans="1:11" ht="24.95" customHeight="1">
      <c r="A1830" s="1156" t="s">
        <v>4195</v>
      </c>
      <c r="B1830" s="1157" t="s">
        <v>4196</v>
      </c>
      <c r="C1830" s="1158"/>
      <c r="D1830" s="1159"/>
      <c r="E1830" s="1152" t="e">
        <f t="shared" si="248"/>
        <v>#DIV/0!</v>
      </c>
      <c r="F1830" s="1164">
        <v>2</v>
      </c>
      <c r="G1830" s="1164"/>
      <c r="H1830" s="1154">
        <f t="shared" si="249"/>
        <v>0</v>
      </c>
      <c r="I1830" s="1155">
        <f t="shared" si="247"/>
        <v>2</v>
      </c>
      <c r="J1830" s="695">
        <f t="shared" si="247"/>
        <v>0</v>
      </c>
      <c r="K1830" s="855">
        <f t="shared" si="250"/>
        <v>0</v>
      </c>
    </row>
    <row r="1831" spans="1:11" ht="24.95" customHeight="1">
      <c r="A1831" s="1156" t="s">
        <v>4197</v>
      </c>
      <c r="B1831" s="1162" t="s">
        <v>4198</v>
      </c>
      <c r="C1831" s="1158"/>
      <c r="D1831" s="1159"/>
      <c r="E1831" s="1152" t="e">
        <f t="shared" si="248"/>
        <v>#DIV/0!</v>
      </c>
      <c r="F1831" s="1159">
        <v>1</v>
      </c>
      <c r="G1831" s="1159"/>
      <c r="H1831" s="1154">
        <f t="shared" si="249"/>
        <v>0</v>
      </c>
      <c r="I1831" s="1155">
        <f t="shared" si="247"/>
        <v>1</v>
      </c>
      <c r="J1831" s="695">
        <f t="shared" si="247"/>
        <v>0</v>
      </c>
      <c r="K1831" s="855">
        <f t="shared" si="250"/>
        <v>0</v>
      </c>
    </row>
    <row r="1832" spans="1:11" ht="24.95" customHeight="1">
      <c r="A1832" s="1165" t="s">
        <v>4199</v>
      </c>
      <c r="B1832" s="1166" t="s">
        <v>4200</v>
      </c>
      <c r="C1832" s="1158"/>
      <c r="D1832" s="1159"/>
      <c r="E1832" s="1152" t="e">
        <f t="shared" si="248"/>
        <v>#DIV/0!</v>
      </c>
      <c r="F1832" s="1159">
        <v>4</v>
      </c>
      <c r="G1832" s="1159"/>
      <c r="H1832" s="1154">
        <f t="shared" si="249"/>
        <v>0</v>
      </c>
      <c r="I1832" s="1155">
        <f t="shared" si="247"/>
        <v>4</v>
      </c>
      <c r="J1832" s="695">
        <f t="shared" si="247"/>
        <v>0</v>
      </c>
      <c r="K1832" s="855">
        <f t="shared" si="250"/>
        <v>0</v>
      </c>
    </row>
    <row r="1833" spans="1:11" ht="24.95" customHeight="1">
      <c r="A1833" s="1165" t="s">
        <v>4201</v>
      </c>
      <c r="B1833" s="1166" t="s">
        <v>4202</v>
      </c>
      <c r="C1833" s="1158"/>
      <c r="D1833" s="1159"/>
      <c r="E1833" s="1152" t="e">
        <f t="shared" si="248"/>
        <v>#DIV/0!</v>
      </c>
      <c r="F1833" s="1159">
        <v>10</v>
      </c>
      <c r="G1833" s="1159">
        <v>1</v>
      </c>
      <c r="H1833" s="1154">
        <f t="shared" si="249"/>
        <v>0.1</v>
      </c>
      <c r="I1833" s="1155">
        <f t="shared" si="247"/>
        <v>10</v>
      </c>
      <c r="J1833" s="695">
        <f t="shared" si="247"/>
        <v>1</v>
      </c>
      <c r="K1833" s="855">
        <f t="shared" si="250"/>
        <v>0.1</v>
      </c>
    </row>
    <row r="1834" spans="1:11" ht="24.95" customHeight="1">
      <c r="A1834" s="1156" t="s">
        <v>4203</v>
      </c>
      <c r="B1834" s="1157" t="s">
        <v>4204</v>
      </c>
      <c r="C1834" s="1158"/>
      <c r="D1834" s="1159"/>
      <c r="E1834" s="1152" t="e">
        <f t="shared" si="248"/>
        <v>#DIV/0!</v>
      </c>
      <c r="F1834" s="1159">
        <v>5</v>
      </c>
      <c r="G1834" s="1159">
        <v>1</v>
      </c>
      <c r="H1834" s="1154">
        <f t="shared" si="249"/>
        <v>0.2</v>
      </c>
      <c r="I1834" s="1155">
        <f t="shared" si="247"/>
        <v>5</v>
      </c>
      <c r="J1834" s="695">
        <f t="shared" si="247"/>
        <v>1</v>
      </c>
      <c r="K1834" s="855">
        <f t="shared" si="250"/>
        <v>0.2</v>
      </c>
    </row>
    <row r="1835" spans="1:11" ht="24.95" customHeight="1">
      <c r="A1835" s="1156" t="s">
        <v>4205</v>
      </c>
      <c r="B1835" s="1157" t="s">
        <v>4206</v>
      </c>
      <c r="C1835" s="1158"/>
      <c r="D1835" s="1159"/>
      <c r="E1835" s="1152" t="e">
        <f t="shared" si="248"/>
        <v>#DIV/0!</v>
      </c>
      <c r="F1835" s="1159">
        <v>5</v>
      </c>
      <c r="G1835" s="1159"/>
      <c r="H1835" s="1154">
        <f t="shared" si="249"/>
        <v>0</v>
      </c>
      <c r="I1835" s="1155">
        <f t="shared" si="247"/>
        <v>5</v>
      </c>
      <c r="J1835" s="695">
        <f t="shared" si="247"/>
        <v>0</v>
      </c>
      <c r="K1835" s="855">
        <f t="shared" si="250"/>
        <v>0</v>
      </c>
    </row>
    <row r="1836" spans="1:11" ht="24.95" customHeight="1">
      <c r="A1836" s="1165" t="s">
        <v>4207</v>
      </c>
      <c r="B1836" s="1167" t="s">
        <v>4208</v>
      </c>
      <c r="C1836" s="1158"/>
      <c r="D1836" s="1159"/>
      <c r="E1836" s="1152" t="e">
        <f t="shared" si="248"/>
        <v>#DIV/0!</v>
      </c>
      <c r="F1836" s="1164">
        <v>3</v>
      </c>
      <c r="G1836" s="1164">
        <v>1</v>
      </c>
      <c r="H1836" s="1154">
        <f t="shared" si="249"/>
        <v>0.33333333333333331</v>
      </c>
      <c r="I1836" s="1155">
        <f t="shared" si="247"/>
        <v>3</v>
      </c>
      <c r="J1836" s="695">
        <f t="shared" si="247"/>
        <v>1</v>
      </c>
      <c r="K1836" s="855">
        <f t="shared" si="250"/>
        <v>0.33333333333333331</v>
      </c>
    </row>
    <row r="1837" spans="1:11" ht="24.95" customHeight="1">
      <c r="A1837" s="1165" t="s">
        <v>3467</v>
      </c>
      <c r="B1837" s="1167" t="s">
        <v>3468</v>
      </c>
      <c r="C1837" s="1159">
        <v>5</v>
      </c>
      <c r="D1837" s="1159"/>
      <c r="E1837" s="1152">
        <f t="shared" si="248"/>
        <v>0</v>
      </c>
      <c r="F1837" s="1164">
        <v>2</v>
      </c>
      <c r="G1837" s="1164"/>
      <c r="H1837" s="1154">
        <f t="shared" si="249"/>
        <v>0</v>
      </c>
      <c r="I1837" s="1155">
        <f t="shared" si="247"/>
        <v>7</v>
      </c>
      <c r="J1837" s="695">
        <f t="shared" si="247"/>
        <v>0</v>
      </c>
      <c r="K1837" s="855">
        <f t="shared" si="250"/>
        <v>0</v>
      </c>
    </row>
    <row r="1838" spans="1:11" ht="24.95" customHeight="1">
      <c r="A1838" s="1165" t="s">
        <v>4209</v>
      </c>
      <c r="B1838" s="1167" t="s">
        <v>4210</v>
      </c>
      <c r="C1838" s="1159"/>
      <c r="D1838" s="1159"/>
      <c r="E1838" s="1152" t="e">
        <f t="shared" si="248"/>
        <v>#DIV/0!</v>
      </c>
      <c r="F1838" s="1164">
        <v>5</v>
      </c>
      <c r="G1838" s="1164">
        <v>1</v>
      </c>
      <c r="H1838" s="1154">
        <f t="shared" si="249"/>
        <v>0.2</v>
      </c>
      <c r="I1838" s="1155">
        <f t="shared" si="247"/>
        <v>5</v>
      </c>
      <c r="J1838" s="695">
        <f t="shared" si="247"/>
        <v>1</v>
      </c>
      <c r="K1838" s="855">
        <f t="shared" si="250"/>
        <v>0.2</v>
      </c>
    </row>
    <row r="1839" spans="1:11" ht="24.95" customHeight="1">
      <c r="A1839" s="1156"/>
      <c r="B1839" s="1168" t="s">
        <v>4211</v>
      </c>
      <c r="C1839" s="1169">
        <f t="shared" ref="C1839:J1839" si="251">SUM(C1810:C1838)</f>
        <v>7</v>
      </c>
      <c r="D1839" s="1169">
        <f t="shared" si="251"/>
        <v>0</v>
      </c>
      <c r="E1839" s="1152">
        <f t="shared" si="248"/>
        <v>0</v>
      </c>
      <c r="F1839" s="1169">
        <f t="shared" si="251"/>
        <v>788</v>
      </c>
      <c r="G1839" s="1169">
        <f t="shared" si="251"/>
        <v>483</v>
      </c>
      <c r="H1839" s="1154">
        <f t="shared" si="249"/>
        <v>0.61294416243654826</v>
      </c>
      <c r="I1839" s="1170">
        <f t="shared" si="251"/>
        <v>795</v>
      </c>
      <c r="J1839" s="1170">
        <f t="shared" si="251"/>
        <v>483</v>
      </c>
      <c r="K1839" s="855">
        <f t="shared" si="250"/>
        <v>0.60754716981132073</v>
      </c>
    </row>
    <row r="1840" spans="1:11" ht="24.95" customHeight="1">
      <c r="A1840" s="1147"/>
      <c r="B1840" s="1148" t="s">
        <v>2372</v>
      </c>
      <c r="C1840" s="2065"/>
      <c r="D1840" s="2066"/>
      <c r="E1840" s="2066"/>
      <c r="F1840" s="2066"/>
      <c r="G1840" s="2066"/>
      <c r="H1840" s="2066"/>
      <c r="I1840" s="2066"/>
      <c r="J1840" s="2066"/>
      <c r="K1840" s="2066"/>
    </row>
    <row r="1841" spans="1:11" ht="24.95" customHeight="1">
      <c r="A1841" s="1171" t="s">
        <v>2373</v>
      </c>
      <c r="B1841" s="1172" t="s">
        <v>2374</v>
      </c>
      <c r="C1841" s="1158">
        <v>2500</v>
      </c>
      <c r="D1841" s="1159">
        <v>757</v>
      </c>
      <c r="E1841" s="1173">
        <f>+D1841/C1841</f>
        <v>0.30280000000000001</v>
      </c>
      <c r="F1841" s="1159">
        <v>820</v>
      </c>
      <c r="G1841" s="1159">
        <v>474</v>
      </c>
      <c r="H1841" s="1173">
        <f>+G1841/F1841</f>
        <v>0.57804878048780484</v>
      </c>
      <c r="I1841" s="1155">
        <f t="shared" ref="I1841:J1856" si="252">+C1841+F1841</f>
        <v>3320</v>
      </c>
      <c r="J1841" s="695">
        <f>+D1841+G1841</f>
        <v>1231</v>
      </c>
      <c r="K1841" s="855">
        <f>+J1841/I1841</f>
        <v>0.37078313253012046</v>
      </c>
    </row>
    <row r="1842" spans="1:11" ht="24.95" customHeight="1">
      <c r="A1842" s="1171" t="s">
        <v>3517</v>
      </c>
      <c r="B1842" s="1172" t="s">
        <v>4212</v>
      </c>
      <c r="C1842" s="1159"/>
      <c r="D1842" s="1159"/>
      <c r="E1842" s="1173" t="e">
        <f t="shared" ref="E1842:E1905" si="253">+D1842/C1842</f>
        <v>#DIV/0!</v>
      </c>
      <c r="F1842" s="1159"/>
      <c r="G1842" s="1159"/>
      <c r="H1842" s="1173" t="e">
        <f t="shared" ref="H1842:H1905" si="254">+G1842/F1842</f>
        <v>#DIV/0!</v>
      </c>
      <c r="I1842" s="1155">
        <f t="shared" si="252"/>
        <v>0</v>
      </c>
      <c r="J1842" s="695">
        <f t="shared" si="252"/>
        <v>0</v>
      </c>
      <c r="K1842" s="855" t="e">
        <f t="shared" ref="K1842:K1905" si="255">+J1842/I1842</f>
        <v>#DIV/0!</v>
      </c>
    </row>
    <row r="1843" spans="1:11" ht="24.95" customHeight="1">
      <c r="A1843" s="1171" t="s">
        <v>3052</v>
      </c>
      <c r="B1843" s="1174" t="s">
        <v>3053</v>
      </c>
      <c r="C1843" s="1158"/>
      <c r="D1843" s="1159"/>
      <c r="E1843" s="1173" t="e">
        <f t="shared" si="253"/>
        <v>#DIV/0!</v>
      </c>
      <c r="F1843" s="1164">
        <v>20</v>
      </c>
      <c r="G1843" s="1164">
        <v>7</v>
      </c>
      <c r="H1843" s="1173">
        <f t="shared" si="254"/>
        <v>0.35</v>
      </c>
      <c r="I1843" s="1155">
        <f t="shared" si="252"/>
        <v>20</v>
      </c>
      <c r="J1843" s="695">
        <f t="shared" si="252"/>
        <v>7</v>
      </c>
      <c r="K1843" s="855">
        <f t="shared" si="255"/>
        <v>0.35</v>
      </c>
    </row>
    <row r="1844" spans="1:11" s="719" customFormat="1" ht="24.95" customHeight="1">
      <c r="A1844" s="1156" t="s">
        <v>4213</v>
      </c>
      <c r="B1844" s="1175" t="s">
        <v>4214</v>
      </c>
      <c r="C1844" s="1158">
        <v>15300</v>
      </c>
      <c r="D1844" s="1159">
        <v>14508</v>
      </c>
      <c r="E1844" s="1173">
        <f t="shared" si="253"/>
        <v>0.94823529411764707</v>
      </c>
      <c r="F1844" s="1159">
        <v>1160</v>
      </c>
      <c r="G1844" s="1159">
        <v>1</v>
      </c>
      <c r="H1844" s="1173">
        <f t="shared" si="254"/>
        <v>8.6206896551724137E-4</v>
      </c>
      <c r="I1844" s="1155">
        <f t="shared" si="252"/>
        <v>16460</v>
      </c>
      <c r="J1844" s="695">
        <f t="shared" si="252"/>
        <v>14509</v>
      </c>
      <c r="K1844" s="855">
        <f t="shared" si="255"/>
        <v>0.88147023086269749</v>
      </c>
    </row>
    <row r="1845" spans="1:11" ht="24.95" customHeight="1">
      <c r="A1845" s="1156" t="s">
        <v>4215</v>
      </c>
      <c r="B1845" s="1175" t="s">
        <v>4216</v>
      </c>
      <c r="C1845" s="1159">
        <v>910</v>
      </c>
      <c r="D1845" s="1159">
        <v>399</v>
      </c>
      <c r="E1845" s="1173">
        <f t="shared" si="253"/>
        <v>0.43846153846153846</v>
      </c>
      <c r="F1845" s="1164">
        <v>10</v>
      </c>
      <c r="G1845" s="1164"/>
      <c r="H1845" s="1173">
        <f t="shared" si="254"/>
        <v>0</v>
      </c>
      <c r="I1845" s="1155">
        <f t="shared" si="252"/>
        <v>920</v>
      </c>
      <c r="J1845" s="695">
        <f t="shared" si="252"/>
        <v>399</v>
      </c>
      <c r="K1845" s="855">
        <f t="shared" si="255"/>
        <v>0.43369565217391304</v>
      </c>
    </row>
    <row r="1846" spans="1:11" ht="24.95" customHeight="1">
      <c r="A1846" s="1156" t="s">
        <v>4217</v>
      </c>
      <c r="B1846" s="1175" t="s">
        <v>4218</v>
      </c>
      <c r="C1846" s="1159">
        <v>30</v>
      </c>
      <c r="D1846" s="1159">
        <v>7</v>
      </c>
      <c r="E1846" s="1173">
        <f t="shared" si="253"/>
        <v>0.23333333333333334</v>
      </c>
      <c r="F1846" s="1164">
        <v>3</v>
      </c>
      <c r="G1846" s="1164"/>
      <c r="H1846" s="1173">
        <f t="shared" si="254"/>
        <v>0</v>
      </c>
      <c r="I1846" s="1155">
        <f t="shared" si="252"/>
        <v>33</v>
      </c>
      <c r="J1846" s="695">
        <f t="shared" si="252"/>
        <v>7</v>
      </c>
      <c r="K1846" s="855">
        <f t="shared" si="255"/>
        <v>0.21212121212121213</v>
      </c>
    </row>
    <row r="1847" spans="1:11" ht="24.95" customHeight="1">
      <c r="A1847" s="1176" t="s">
        <v>2389</v>
      </c>
      <c r="B1847" s="1177" t="s">
        <v>2390</v>
      </c>
      <c r="C1847" s="1158">
        <v>5</v>
      </c>
      <c r="D1847" s="1159"/>
      <c r="E1847" s="1173">
        <f t="shared" si="253"/>
        <v>0</v>
      </c>
      <c r="F1847" s="1159">
        <v>20</v>
      </c>
      <c r="G1847" s="1159">
        <v>2</v>
      </c>
      <c r="H1847" s="1173">
        <f t="shared" si="254"/>
        <v>0.1</v>
      </c>
      <c r="I1847" s="1155">
        <f t="shared" si="252"/>
        <v>25</v>
      </c>
      <c r="J1847" s="695">
        <f t="shared" si="252"/>
        <v>2</v>
      </c>
      <c r="K1847" s="855">
        <f t="shared" si="255"/>
        <v>0.08</v>
      </c>
    </row>
    <row r="1848" spans="1:11" ht="24.95" customHeight="1">
      <c r="A1848" s="1156" t="s">
        <v>2401</v>
      </c>
      <c r="B1848" s="1166" t="s">
        <v>2402</v>
      </c>
      <c r="C1848" s="1158">
        <v>1</v>
      </c>
      <c r="D1848" s="1159"/>
      <c r="E1848" s="1173">
        <f t="shared" si="253"/>
        <v>0</v>
      </c>
      <c r="F1848" s="1159">
        <v>80</v>
      </c>
      <c r="G1848" s="1159">
        <v>19</v>
      </c>
      <c r="H1848" s="1173">
        <f t="shared" si="254"/>
        <v>0.23749999999999999</v>
      </c>
      <c r="I1848" s="1155">
        <f t="shared" si="252"/>
        <v>81</v>
      </c>
      <c r="J1848" s="695">
        <f t="shared" si="252"/>
        <v>19</v>
      </c>
      <c r="K1848" s="855">
        <f t="shared" si="255"/>
        <v>0.23456790123456789</v>
      </c>
    </row>
    <row r="1849" spans="1:11" ht="24.95" customHeight="1">
      <c r="A1849" s="1156" t="s">
        <v>4219</v>
      </c>
      <c r="B1849" s="1166" t="s">
        <v>4220</v>
      </c>
      <c r="C1849" s="1159"/>
      <c r="D1849" s="1159"/>
      <c r="E1849" s="1173" t="e">
        <f t="shared" si="253"/>
        <v>#DIV/0!</v>
      </c>
      <c r="F1849" s="1159">
        <v>10</v>
      </c>
      <c r="G1849" s="1159"/>
      <c r="H1849" s="1173">
        <f t="shared" si="254"/>
        <v>0</v>
      </c>
      <c r="I1849" s="1155">
        <f t="shared" si="252"/>
        <v>10</v>
      </c>
      <c r="J1849" s="695">
        <f t="shared" si="252"/>
        <v>0</v>
      </c>
      <c r="K1849" s="855">
        <f t="shared" si="255"/>
        <v>0</v>
      </c>
    </row>
    <row r="1850" spans="1:11" ht="24.95" customHeight="1">
      <c r="A1850" s="1156" t="s">
        <v>4221</v>
      </c>
      <c r="B1850" s="1166" t="s">
        <v>4222</v>
      </c>
      <c r="C1850" s="1159">
        <v>5</v>
      </c>
      <c r="D1850" s="1159"/>
      <c r="E1850" s="1173">
        <f t="shared" si="253"/>
        <v>0</v>
      </c>
      <c r="F1850" s="1178"/>
      <c r="G1850" s="1178"/>
      <c r="H1850" s="1173" t="e">
        <f t="shared" si="254"/>
        <v>#DIV/0!</v>
      </c>
      <c r="I1850" s="1155"/>
      <c r="J1850" s="695">
        <f t="shared" si="252"/>
        <v>0</v>
      </c>
      <c r="K1850" s="855" t="e">
        <f t="shared" si="255"/>
        <v>#DIV/0!</v>
      </c>
    </row>
    <row r="1851" spans="1:11" ht="24.95" customHeight="1">
      <c r="A1851" s="1156" t="s">
        <v>3219</v>
      </c>
      <c r="B1851" s="1166" t="s">
        <v>4223</v>
      </c>
      <c r="C1851" s="1159">
        <v>60</v>
      </c>
      <c r="D1851" s="1159">
        <v>16</v>
      </c>
      <c r="E1851" s="1173">
        <f t="shared" si="253"/>
        <v>0.26666666666666666</v>
      </c>
      <c r="F1851" s="1159">
        <v>4</v>
      </c>
      <c r="G1851" s="1159"/>
      <c r="H1851" s="1173">
        <f t="shared" si="254"/>
        <v>0</v>
      </c>
      <c r="I1851" s="1155">
        <f t="shared" ref="I1851:J1867" si="256">+C1851+F1851</f>
        <v>64</v>
      </c>
      <c r="J1851" s="695">
        <f t="shared" si="252"/>
        <v>16</v>
      </c>
      <c r="K1851" s="855">
        <f t="shared" si="255"/>
        <v>0.25</v>
      </c>
    </row>
    <row r="1852" spans="1:11" ht="24.95" customHeight="1">
      <c r="A1852" s="1156" t="s">
        <v>2423</v>
      </c>
      <c r="B1852" s="1166" t="s">
        <v>2424</v>
      </c>
      <c r="C1852" s="1159">
        <v>2</v>
      </c>
      <c r="D1852" s="1159">
        <v>2</v>
      </c>
      <c r="E1852" s="1173">
        <f t="shared" si="253"/>
        <v>1</v>
      </c>
      <c r="F1852" s="1159">
        <v>4</v>
      </c>
      <c r="G1852" s="1159">
        <v>2</v>
      </c>
      <c r="H1852" s="1173">
        <f t="shared" si="254"/>
        <v>0.5</v>
      </c>
      <c r="I1852" s="1155">
        <f t="shared" si="256"/>
        <v>6</v>
      </c>
      <c r="J1852" s="695">
        <f t="shared" si="252"/>
        <v>4</v>
      </c>
      <c r="K1852" s="855">
        <f t="shared" si="255"/>
        <v>0.66666666666666663</v>
      </c>
    </row>
    <row r="1853" spans="1:11" ht="24.95" customHeight="1">
      <c r="A1853" s="1179" t="s">
        <v>3563</v>
      </c>
      <c r="B1853" s="1180" t="s">
        <v>3564</v>
      </c>
      <c r="C1853" s="1159">
        <v>5</v>
      </c>
      <c r="D1853" s="1159">
        <v>1</v>
      </c>
      <c r="E1853" s="1173">
        <f t="shared" si="253"/>
        <v>0.2</v>
      </c>
      <c r="F1853" s="1159"/>
      <c r="G1853" s="1159"/>
      <c r="H1853" s="1173" t="e">
        <f t="shared" si="254"/>
        <v>#DIV/0!</v>
      </c>
      <c r="I1853" s="1155">
        <f t="shared" si="256"/>
        <v>5</v>
      </c>
      <c r="J1853" s="695">
        <f t="shared" si="252"/>
        <v>1</v>
      </c>
      <c r="K1853" s="855">
        <f t="shared" si="255"/>
        <v>0.2</v>
      </c>
    </row>
    <row r="1854" spans="1:11" ht="24.95" customHeight="1">
      <c r="A1854" s="1156" t="s">
        <v>4224</v>
      </c>
      <c r="B1854" s="1160" t="s">
        <v>4225</v>
      </c>
      <c r="C1854" s="1159">
        <v>1000</v>
      </c>
      <c r="D1854" s="1159">
        <v>402</v>
      </c>
      <c r="E1854" s="1173">
        <f t="shared" si="253"/>
        <v>0.40200000000000002</v>
      </c>
      <c r="F1854" s="1159">
        <v>2</v>
      </c>
      <c r="G1854" s="1159"/>
      <c r="H1854" s="1173">
        <f t="shared" si="254"/>
        <v>0</v>
      </c>
      <c r="I1854" s="1155">
        <f t="shared" si="256"/>
        <v>1002</v>
      </c>
      <c r="J1854" s="695">
        <f t="shared" si="252"/>
        <v>402</v>
      </c>
      <c r="K1854" s="855">
        <f t="shared" si="255"/>
        <v>0.40119760479041916</v>
      </c>
    </row>
    <row r="1855" spans="1:11" ht="24.95" customHeight="1">
      <c r="A1855" s="1165" t="s">
        <v>4226</v>
      </c>
      <c r="B1855" s="1167" t="s">
        <v>4227</v>
      </c>
      <c r="C1855" s="1159">
        <v>250</v>
      </c>
      <c r="D1855" s="1159">
        <v>82</v>
      </c>
      <c r="E1855" s="1173">
        <f t="shared" si="253"/>
        <v>0.32800000000000001</v>
      </c>
      <c r="F1855" s="1159">
        <v>1</v>
      </c>
      <c r="G1855" s="1159"/>
      <c r="H1855" s="1173">
        <f t="shared" si="254"/>
        <v>0</v>
      </c>
      <c r="I1855" s="1155">
        <f t="shared" si="256"/>
        <v>251</v>
      </c>
      <c r="J1855" s="695">
        <f t="shared" si="252"/>
        <v>82</v>
      </c>
      <c r="K1855" s="855">
        <f t="shared" si="255"/>
        <v>0.32669322709163345</v>
      </c>
    </row>
    <row r="1856" spans="1:11" ht="24.95" customHeight="1">
      <c r="A1856" s="1165" t="s">
        <v>3569</v>
      </c>
      <c r="B1856" s="1167" t="s">
        <v>3570</v>
      </c>
      <c r="C1856" s="1159"/>
      <c r="D1856" s="1159"/>
      <c r="E1856" s="1173" t="e">
        <f t="shared" si="253"/>
        <v>#DIV/0!</v>
      </c>
      <c r="F1856" s="1159">
        <v>1</v>
      </c>
      <c r="G1856" s="1159"/>
      <c r="H1856" s="1173">
        <f t="shared" si="254"/>
        <v>0</v>
      </c>
      <c r="I1856" s="1155">
        <f t="shared" si="256"/>
        <v>1</v>
      </c>
      <c r="J1856" s="695">
        <f t="shared" si="252"/>
        <v>0</v>
      </c>
      <c r="K1856" s="855">
        <f t="shared" si="255"/>
        <v>0</v>
      </c>
    </row>
    <row r="1857" spans="1:11" ht="24.95" customHeight="1">
      <c r="A1857" s="1179" t="s">
        <v>4228</v>
      </c>
      <c r="B1857" s="1180" t="s">
        <v>4229</v>
      </c>
      <c r="C1857" s="1158"/>
      <c r="D1857" s="1159"/>
      <c r="E1857" s="1173" t="e">
        <f t="shared" si="253"/>
        <v>#DIV/0!</v>
      </c>
      <c r="F1857" s="1164">
        <v>1</v>
      </c>
      <c r="G1857" s="1164"/>
      <c r="H1857" s="1173">
        <f t="shared" si="254"/>
        <v>0</v>
      </c>
      <c r="I1857" s="1155">
        <f t="shared" si="256"/>
        <v>1</v>
      </c>
      <c r="J1857" s="695">
        <f t="shared" si="256"/>
        <v>0</v>
      </c>
      <c r="K1857" s="855">
        <f t="shared" si="255"/>
        <v>0</v>
      </c>
    </row>
    <row r="1858" spans="1:11" ht="24.95" customHeight="1">
      <c r="A1858" s="1165" t="s">
        <v>3777</v>
      </c>
      <c r="B1858" s="1181" t="s">
        <v>3778</v>
      </c>
      <c r="C1858" s="1159">
        <v>10</v>
      </c>
      <c r="D1858" s="1159">
        <v>1</v>
      </c>
      <c r="E1858" s="1173">
        <f t="shared" si="253"/>
        <v>0.1</v>
      </c>
      <c r="F1858" s="1159"/>
      <c r="G1858" s="1159"/>
      <c r="H1858" s="1173" t="e">
        <f t="shared" si="254"/>
        <v>#DIV/0!</v>
      </c>
      <c r="I1858" s="1155">
        <f t="shared" si="256"/>
        <v>10</v>
      </c>
      <c r="J1858" s="695">
        <f t="shared" si="256"/>
        <v>1</v>
      </c>
      <c r="K1858" s="855">
        <f t="shared" si="255"/>
        <v>0.1</v>
      </c>
    </row>
    <row r="1859" spans="1:11" ht="24.95" customHeight="1">
      <c r="A1859" s="1165" t="s">
        <v>3579</v>
      </c>
      <c r="B1859" s="1181" t="s">
        <v>3580</v>
      </c>
      <c r="C1859" s="1159">
        <v>3</v>
      </c>
      <c r="D1859" s="1159">
        <v>2</v>
      </c>
      <c r="E1859" s="1173">
        <f t="shared" si="253"/>
        <v>0.66666666666666663</v>
      </c>
      <c r="F1859" s="1159"/>
      <c r="G1859" s="1159"/>
      <c r="H1859" s="1173" t="e">
        <f t="shared" si="254"/>
        <v>#DIV/0!</v>
      </c>
      <c r="I1859" s="1155">
        <f t="shared" si="256"/>
        <v>3</v>
      </c>
      <c r="J1859" s="695">
        <f t="shared" si="256"/>
        <v>2</v>
      </c>
      <c r="K1859" s="855">
        <f t="shared" si="255"/>
        <v>0.66666666666666663</v>
      </c>
    </row>
    <row r="1860" spans="1:11" ht="24.95" customHeight="1">
      <c r="A1860" s="1165" t="s">
        <v>3404</v>
      </c>
      <c r="B1860" s="1180" t="s">
        <v>3405</v>
      </c>
      <c r="C1860" s="1159">
        <v>5</v>
      </c>
      <c r="D1860" s="1159">
        <v>6</v>
      </c>
      <c r="E1860" s="1173">
        <f t="shared" si="253"/>
        <v>1.2</v>
      </c>
      <c r="F1860" s="1159">
        <v>5</v>
      </c>
      <c r="G1860" s="1159">
        <v>1</v>
      </c>
      <c r="H1860" s="1173">
        <f t="shared" si="254"/>
        <v>0.2</v>
      </c>
      <c r="I1860" s="1155">
        <f t="shared" si="256"/>
        <v>10</v>
      </c>
      <c r="J1860" s="695">
        <f t="shared" si="256"/>
        <v>7</v>
      </c>
      <c r="K1860" s="855">
        <f t="shared" si="255"/>
        <v>0.7</v>
      </c>
    </row>
    <row r="1861" spans="1:11" ht="24.95" customHeight="1">
      <c r="A1861" s="1179" t="s">
        <v>4230</v>
      </c>
      <c r="B1861" s="1180" t="s">
        <v>4231</v>
      </c>
      <c r="C1861" s="1158">
        <v>60</v>
      </c>
      <c r="D1861" s="1159">
        <v>32</v>
      </c>
      <c r="E1861" s="1173">
        <f t="shared" si="253"/>
        <v>0.53333333333333333</v>
      </c>
      <c r="F1861" s="1159"/>
      <c r="G1861" s="1159"/>
      <c r="H1861" s="1173" t="e">
        <f t="shared" si="254"/>
        <v>#DIV/0!</v>
      </c>
      <c r="I1861" s="1155">
        <f t="shared" si="256"/>
        <v>60</v>
      </c>
      <c r="J1861" s="695">
        <f t="shared" si="256"/>
        <v>32</v>
      </c>
      <c r="K1861" s="855">
        <f t="shared" si="255"/>
        <v>0.53333333333333333</v>
      </c>
    </row>
    <row r="1862" spans="1:11" ht="24.95" customHeight="1">
      <c r="A1862" s="1165" t="s">
        <v>4232</v>
      </c>
      <c r="B1862" s="1167" t="s">
        <v>4233</v>
      </c>
      <c r="C1862" s="1158"/>
      <c r="D1862" s="1159"/>
      <c r="E1862" s="1173" t="e">
        <f t="shared" si="253"/>
        <v>#DIV/0!</v>
      </c>
      <c r="F1862" s="1159">
        <v>1</v>
      </c>
      <c r="G1862" s="1159"/>
      <c r="H1862" s="1173">
        <f t="shared" si="254"/>
        <v>0</v>
      </c>
      <c r="I1862" s="1155">
        <f t="shared" si="256"/>
        <v>1</v>
      </c>
      <c r="J1862" s="695">
        <f t="shared" si="256"/>
        <v>0</v>
      </c>
      <c r="K1862" s="855">
        <f t="shared" si="255"/>
        <v>0</v>
      </c>
    </row>
    <row r="1863" spans="1:11" ht="24.95" customHeight="1">
      <c r="A1863" s="1165" t="s">
        <v>4234</v>
      </c>
      <c r="B1863" s="1182" t="s">
        <v>4235</v>
      </c>
      <c r="C1863" s="1159">
        <v>1</v>
      </c>
      <c r="D1863" s="1159">
        <v>2</v>
      </c>
      <c r="E1863" s="1173">
        <f t="shared" si="253"/>
        <v>2</v>
      </c>
      <c r="F1863" s="1159">
        <v>2</v>
      </c>
      <c r="G1863" s="1159"/>
      <c r="H1863" s="1173">
        <f t="shared" si="254"/>
        <v>0</v>
      </c>
      <c r="I1863" s="1155">
        <f t="shared" si="256"/>
        <v>3</v>
      </c>
      <c r="J1863" s="695">
        <f t="shared" si="256"/>
        <v>2</v>
      </c>
      <c r="K1863" s="855">
        <f t="shared" si="255"/>
        <v>0.66666666666666663</v>
      </c>
    </row>
    <row r="1864" spans="1:11" ht="24.95" customHeight="1">
      <c r="A1864" s="1165" t="s">
        <v>4236</v>
      </c>
      <c r="B1864" s="1167" t="s">
        <v>4237</v>
      </c>
      <c r="C1864" s="1159">
        <v>5</v>
      </c>
      <c r="D1864" s="1159">
        <v>1</v>
      </c>
      <c r="E1864" s="1173">
        <f t="shared" si="253"/>
        <v>0.2</v>
      </c>
      <c r="F1864" s="1159"/>
      <c r="G1864" s="1159"/>
      <c r="H1864" s="1173" t="e">
        <f t="shared" si="254"/>
        <v>#DIV/0!</v>
      </c>
      <c r="I1864" s="1155">
        <f t="shared" si="256"/>
        <v>5</v>
      </c>
      <c r="J1864" s="695">
        <f t="shared" si="256"/>
        <v>1</v>
      </c>
      <c r="K1864" s="855">
        <f t="shared" si="255"/>
        <v>0.2</v>
      </c>
    </row>
    <row r="1865" spans="1:11" ht="24.95" customHeight="1">
      <c r="A1865" s="1165" t="s">
        <v>4238</v>
      </c>
      <c r="B1865" s="1167" t="s">
        <v>4239</v>
      </c>
      <c r="C1865" s="1159">
        <v>3</v>
      </c>
      <c r="D1865" s="1159">
        <v>2</v>
      </c>
      <c r="E1865" s="1173">
        <f t="shared" si="253"/>
        <v>0.66666666666666663</v>
      </c>
      <c r="F1865" s="1159"/>
      <c r="G1865" s="1159"/>
      <c r="H1865" s="1173" t="e">
        <f t="shared" si="254"/>
        <v>#DIV/0!</v>
      </c>
      <c r="I1865" s="1155">
        <f t="shared" si="256"/>
        <v>3</v>
      </c>
      <c r="J1865" s="695">
        <f t="shared" si="256"/>
        <v>2</v>
      </c>
      <c r="K1865" s="855">
        <f t="shared" si="255"/>
        <v>0.66666666666666663</v>
      </c>
    </row>
    <row r="1866" spans="1:11" ht="24.95" customHeight="1">
      <c r="A1866" s="1179" t="s">
        <v>4240</v>
      </c>
      <c r="B1866" s="1180" t="s">
        <v>4241</v>
      </c>
      <c r="C1866" s="1158">
        <v>10</v>
      </c>
      <c r="D1866" s="1159">
        <v>7</v>
      </c>
      <c r="E1866" s="1173">
        <f t="shared" si="253"/>
        <v>0.7</v>
      </c>
      <c r="F1866" s="1159">
        <v>1</v>
      </c>
      <c r="G1866" s="1159"/>
      <c r="H1866" s="1173">
        <f t="shared" si="254"/>
        <v>0</v>
      </c>
      <c r="I1866" s="1155">
        <f t="shared" si="256"/>
        <v>11</v>
      </c>
      <c r="J1866" s="695">
        <f t="shared" si="256"/>
        <v>7</v>
      </c>
      <c r="K1866" s="855">
        <f t="shared" si="255"/>
        <v>0.63636363636363635</v>
      </c>
    </row>
    <row r="1867" spans="1:11" ht="24.95" customHeight="1">
      <c r="A1867" s="1165" t="s">
        <v>4242</v>
      </c>
      <c r="B1867" s="1183" t="s">
        <v>4243</v>
      </c>
      <c r="C1867" s="1158">
        <v>80</v>
      </c>
      <c r="D1867" s="1159">
        <v>38</v>
      </c>
      <c r="E1867" s="1173">
        <f t="shared" si="253"/>
        <v>0.47499999999999998</v>
      </c>
      <c r="F1867" s="1159">
        <v>1350</v>
      </c>
      <c r="G1867" s="1159">
        <v>920</v>
      </c>
      <c r="H1867" s="1173">
        <f t="shared" si="254"/>
        <v>0.68148148148148147</v>
      </c>
      <c r="I1867" s="1155">
        <f t="shared" si="256"/>
        <v>1430</v>
      </c>
      <c r="J1867" s="695">
        <f t="shared" si="256"/>
        <v>958</v>
      </c>
      <c r="K1867" s="855">
        <f t="shared" si="255"/>
        <v>0.66993006993006998</v>
      </c>
    </row>
    <row r="1868" spans="1:11" ht="24.95" customHeight="1">
      <c r="A1868" s="1165" t="s">
        <v>4244</v>
      </c>
      <c r="B1868" s="1183" t="s">
        <v>4245</v>
      </c>
      <c r="C1868" s="1158">
        <v>2</v>
      </c>
      <c r="D1868" s="1159"/>
      <c r="E1868" s="1173">
        <f t="shared" si="253"/>
        <v>0</v>
      </c>
      <c r="F1868" s="1159"/>
      <c r="G1868" s="1159"/>
      <c r="H1868" s="1173" t="e">
        <f t="shared" si="254"/>
        <v>#DIV/0!</v>
      </c>
      <c r="I1868" s="1155"/>
      <c r="J1868" s="695">
        <f t="shared" ref="J1868:J1931" si="257">+D1868+G1868</f>
        <v>0</v>
      </c>
      <c r="K1868" s="855" t="e">
        <f t="shared" si="255"/>
        <v>#DIV/0!</v>
      </c>
    </row>
    <row r="1869" spans="1:11" ht="24.95" customHeight="1">
      <c r="A1869" s="1165" t="s">
        <v>4246</v>
      </c>
      <c r="B1869" s="1167" t="s">
        <v>4247</v>
      </c>
      <c r="C1869" s="1158">
        <v>1</v>
      </c>
      <c r="D1869" s="1159"/>
      <c r="E1869" s="1173">
        <f t="shared" si="253"/>
        <v>0</v>
      </c>
      <c r="F1869" s="1164">
        <v>2</v>
      </c>
      <c r="G1869" s="1164">
        <v>1</v>
      </c>
      <c r="H1869" s="1173">
        <f t="shared" si="254"/>
        <v>0.5</v>
      </c>
      <c r="I1869" s="1155">
        <f t="shared" ref="I1869:I1916" si="258">+C1869+F1869</f>
        <v>3</v>
      </c>
      <c r="J1869" s="695">
        <f t="shared" si="257"/>
        <v>1</v>
      </c>
      <c r="K1869" s="855">
        <f t="shared" si="255"/>
        <v>0.33333333333333331</v>
      </c>
    </row>
    <row r="1870" spans="1:11" ht="24.95" customHeight="1">
      <c r="A1870" s="1165" t="s">
        <v>4248</v>
      </c>
      <c r="B1870" s="1167" t="s">
        <v>4249</v>
      </c>
      <c r="C1870" s="1158"/>
      <c r="D1870" s="1159"/>
      <c r="E1870" s="1173" t="e">
        <f t="shared" si="253"/>
        <v>#DIV/0!</v>
      </c>
      <c r="F1870" s="1164">
        <v>1</v>
      </c>
      <c r="G1870" s="1164"/>
      <c r="H1870" s="1173">
        <f t="shared" si="254"/>
        <v>0</v>
      </c>
      <c r="I1870" s="1155">
        <f t="shared" si="258"/>
        <v>1</v>
      </c>
      <c r="J1870" s="695">
        <f t="shared" si="257"/>
        <v>0</v>
      </c>
      <c r="K1870" s="855">
        <f t="shared" si="255"/>
        <v>0</v>
      </c>
    </row>
    <row r="1871" spans="1:11" ht="24.95" customHeight="1">
      <c r="A1871" s="1165" t="s">
        <v>4250</v>
      </c>
      <c r="B1871" s="1167" t="s">
        <v>4251</v>
      </c>
      <c r="C1871" s="1158"/>
      <c r="D1871" s="1159"/>
      <c r="E1871" s="1173" t="e">
        <f t="shared" si="253"/>
        <v>#DIV/0!</v>
      </c>
      <c r="F1871" s="1159"/>
      <c r="G1871" s="1159"/>
      <c r="H1871" s="1173" t="e">
        <f t="shared" si="254"/>
        <v>#DIV/0!</v>
      </c>
      <c r="I1871" s="1155">
        <f t="shared" si="258"/>
        <v>0</v>
      </c>
      <c r="J1871" s="695">
        <f t="shared" si="257"/>
        <v>0</v>
      </c>
      <c r="K1871" s="855" t="e">
        <f t="shared" si="255"/>
        <v>#DIV/0!</v>
      </c>
    </row>
    <row r="1872" spans="1:11" ht="24.95" customHeight="1">
      <c r="A1872" s="1156" t="s">
        <v>4252</v>
      </c>
      <c r="B1872" s="1160" t="s">
        <v>4253</v>
      </c>
      <c r="C1872" s="1158"/>
      <c r="D1872" s="1159"/>
      <c r="E1872" s="1173" t="e">
        <f t="shared" si="253"/>
        <v>#DIV/0!</v>
      </c>
      <c r="F1872" s="1164"/>
      <c r="G1872" s="1164"/>
      <c r="H1872" s="1173" t="e">
        <f t="shared" si="254"/>
        <v>#DIV/0!</v>
      </c>
      <c r="I1872" s="1155">
        <f t="shared" si="258"/>
        <v>0</v>
      </c>
      <c r="J1872" s="695">
        <f t="shared" si="257"/>
        <v>0</v>
      </c>
      <c r="K1872" s="855" t="e">
        <f t="shared" si="255"/>
        <v>#DIV/0!</v>
      </c>
    </row>
    <row r="1873" spans="1:11" ht="24.95" customHeight="1">
      <c r="A1873" s="1156" t="s">
        <v>4254</v>
      </c>
      <c r="B1873" s="1160" t="s">
        <v>4255</v>
      </c>
      <c r="C1873" s="1159">
        <v>70</v>
      </c>
      <c r="D1873" s="1159">
        <v>27</v>
      </c>
      <c r="E1873" s="1173">
        <f t="shared" si="253"/>
        <v>0.38571428571428573</v>
      </c>
      <c r="F1873" s="1164">
        <v>1</v>
      </c>
      <c r="G1873" s="1164"/>
      <c r="H1873" s="1173">
        <f t="shared" si="254"/>
        <v>0</v>
      </c>
      <c r="I1873" s="1155">
        <f t="shared" si="258"/>
        <v>71</v>
      </c>
      <c r="J1873" s="695">
        <f t="shared" si="257"/>
        <v>27</v>
      </c>
      <c r="K1873" s="855">
        <f t="shared" si="255"/>
        <v>0.38028169014084506</v>
      </c>
    </row>
    <row r="1874" spans="1:11" ht="24.95" customHeight="1">
      <c r="A1874" s="1156" t="s">
        <v>4256</v>
      </c>
      <c r="B1874" s="1163" t="s">
        <v>4257</v>
      </c>
      <c r="C1874" s="1158">
        <v>140</v>
      </c>
      <c r="D1874" s="1159">
        <v>73</v>
      </c>
      <c r="E1874" s="1173">
        <f t="shared" si="253"/>
        <v>0.52142857142857146</v>
      </c>
      <c r="F1874" s="1164">
        <v>2</v>
      </c>
      <c r="G1874" s="1164"/>
      <c r="H1874" s="1173">
        <f t="shared" si="254"/>
        <v>0</v>
      </c>
      <c r="I1874" s="1155">
        <f t="shared" si="258"/>
        <v>142</v>
      </c>
      <c r="J1874" s="695">
        <f t="shared" si="257"/>
        <v>73</v>
      </c>
      <c r="K1874" s="855">
        <f t="shared" si="255"/>
        <v>0.5140845070422535</v>
      </c>
    </row>
    <row r="1875" spans="1:11" ht="24.95" customHeight="1">
      <c r="A1875" s="1165" t="s">
        <v>4258</v>
      </c>
      <c r="B1875" s="1167" t="s">
        <v>4259</v>
      </c>
      <c r="C1875" s="1158"/>
      <c r="D1875" s="1159"/>
      <c r="E1875" s="1173" t="e">
        <f t="shared" si="253"/>
        <v>#DIV/0!</v>
      </c>
      <c r="F1875" s="1164">
        <v>1</v>
      </c>
      <c r="G1875" s="1164">
        <v>1</v>
      </c>
      <c r="H1875" s="1173">
        <f t="shared" si="254"/>
        <v>1</v>
      </c>
      <c r="I1875" s="1155">
        <f t="shared" si="258"/>
        <v>1</v>
      </c>
      <c r="J1875" s="695">
        <f t="shared" si="257"/>
        <v>1</v>
      </c>
      <c r="K1875" s="855">
        <f t="shared" si="255"/>
        <v>1</v>
      </c>
    </row>
    <row r="1876" spans="1:11" ht="24.95" customHeight="1">
      <c r="A1876" s="1156" t="s">
        <v>4260</v>
      </c>
      <c r="B1876" s="1163" t="s">
        <v>4261</v>
      </c>
      <c r="C1876" s="1158"/>
      <c r="D1876" s="1159"/>
      <c r="E1876" s="1173" t="e">
        <f t="shared" si="253"/>
        <v>#DIV/0!</v>
      </c>
      <c r="F1876" s="1159">
        <v>605</v>
      </c>
      <c r="G1876" s="1159">
        <v>464</v>
      </c>
      <c r="H1876" s="1173">
        <f t="shared" si="254"/>
        <v>0.76694214876033062</v>
      </c>
      <c r="I1876" s="1155">
        <f t="shared" si="258"/>
        <v>605</v>
      </c>
      <c r="J1876" s="695">
        <f t="shared" si="257"/>
        <v>464</v>
      </c>
      <c r="K1876" s="855">
        <f t="shared" si="255"/>
        <v>0.76694214876033062</v>
      </c>
    </row>
    <row r="1877" spans="1:11" ht="24.95" customHeight="1">
      <c r="A1877" s="1156" t="s">
        <v>4262</v>
      </c>
      <c r="B1877" s="1157" t="s">
        <v>4263</v>
      </c>
      <c r="C1877" s="1158"/>
      <c r="D1877" s="1159"/>
      <c r="E1877" s="1173" t="e">
        <f t="shared" si="253"/>
        <v>#DIV/0!</v>
      </c>
      <c r="F1877" s="1164">
        <v>5</v>
      </c>
      <c r="G1877" s="1164"/>
      <c r="H1877" s="1173">
        <f t="shared" si="254"/>
        <v>0</v>
      </c>
      <c r="I1877" s="1155">
        <f t="shared" si="258"/>
        <v>5</v>
      </c>
      <c r="J1877" s="695">
        <f t="shared" si="257"/>
        <v>0</v>
      </c>
      <c r="K1877" s="855">
        <f t="shared" si="255"/>
        <v>0</v>
      </c>
    </row>
    <row r="1878" spans="1:11" ht="24.95" customHeight="1">
      <c r="A1878" s="1156" t="s">
        <v>4264</v>
      </c>
      <c r="B1878" s="1163" t="s">
        <v>4265</v>
      </c>
      <c r="C1878" s="1159">
        <v>5</v>
      </c>
      <c r="D1878" s="1159">
        <v>1</v>
      </c>
      <c r="E1878" s="1173">
        <f t="shared" si="253"/>
        <v>0.2</v>
      </c>
      <c r="F1878" s="1159">
        <v>8</v>
      </c>
      <c r="G1878" s="1159">
        <v>1</v>
      </c>
      <c r="H1878" s="1173">
        <f t="shared" si="254"/>
        <v>0.125</v>
      </c>
      <c r="I1878" s="1155">
        <f t="shared" si="258"/>
        <v>13</v>
      </c>
      <c r="J1878" s="695">
        <f t="shared" si="257"/>
        <v>2</v>
      </c>
      <c r="K1878" s="855">
        <f t="shared" si="255"/>
        <v>0.15384615384615385</v>
      </c>
    </row>
    <row r="1879" spans="1:11" ht="24.95" customHeight="1">
      <c r="A1879" s="1165" t="s">
        <v>4266</v>
      </c>
      <c r="B1879" s="1181" t="s">
        <v>4267</v>
      </c>
      <c r="C1879" s="1159">
        <v>55</v>
      </c>
      <c r="D1879" s="1159">
        <v>14</v>
      </c>
      <c r="E1879" s="1173">
        <f t="shared" si="253"/>
        <v>0.25454545454545452</v>
      </c>
      <c r="F1879" s="1159">
        <v>5</v>
      </c>
      <c r="G1879" s="1159"/>
      <c r="H1879" s="1173">
        <f t="shared" si="254"/>
        <v>0</v>
      </c>
      <c r="I1879" s="1155">
        <f t="shared" si="258"/>
        <v>60</v>
      </c>
      <c r="J1879" s="695">
        <f t="shared" si="257"/>
        <v>14</v>
      </c>
      <c r="K1879" s="855">
        <f t="shared" si="255"/>
        <v>0.23333333333333334</v>
      </c>
    </row>
    <row r="1880" spans="1:11" ht="24.95" customHeight="1">
      <c r="A1880" s="1165" t="s">
        <v>4268</v>
      </c>
      <c r="B1880" s="1181" t="s">
        <v>4269</v>
      </c>
      <c r="C1880" s="1158">
        <v>1</v>
      </c>
      <c r="D1880" s="1159"/>
      <c r="E1880" s="1173">
        <f t="shared" si="253"/>
        <v>0</v>
      </c>
      <c r="F1880" s="1159"/>
      <c r="G1880" s="1159"/>
      <c r="H1880" s="1173" t="e">
        <f t="shared" si="254"/>
        <v>#DIV/0!</v>
      </c>
      <c r="I1880" s="1155">
        <f t="shared" si="258"/>
        <v>1</v>
      </c>
      <c r="J1880" s="695">
        <f t="shared" si="257"/>
        <v>0</v>
      </c>
      <c r="K1880" s="855">
        <f t="shared" si="255"/>
        <v>0</v>
      </c>
    </row>
    <row r="1881" spans="1:11" ht="24.95" customHeight="1">
      <c r="A1881" s="1184" t="s">
        <v>4270</v>
      </c>
      <c r="B1881" s="1185" t="s">
        <v>4271</v>
      </c>
      <c r="C1881" s="1159">
        <v>1</v>
      </c>
      <c r="D1881" s="1159"/>
      <c r="E1881" s="1173">
        <f t="shared" si="253"/>
        <v>0</v>
      </c>
      <c r="F1881" s="1159">
        <v>2</v>
      </c>
      <c r="G1881" s="1159"/>
      <c r="H1881" s="1173">
        <f t="shared" si="254"/>
        <v>0</v>
      </c>
      <c r="I1881" s="1155">
        <f t="shared" si="258"/>
        <v>3</v>
      </c>
      <c r="J1881" s="695">
        <f t="shared" si="257"/>
        <v>0</v>
      </c>
      <c r="K1881" s="855">
        <f t="shared" si="255"/>
        <v>0</v>
      </c>
    </row>
    <row r="1882" spans="1:11" ht="24.95" customHeight="1">
      <c r="A1882" s="1184" t="s">
        <v>4272</v>
      </c>
      <c r="B1882" s="1186" t="s">
        <v>4273</v>
      </c>
      <c r="C1882" s="1159">
        <v>3</v>
      </c>
      <c r="D1882" s="1159"/>
      <c r="E1882" s="1173">
        <f t="shared" si="253"/>
        <v>0</v>
      </c>
      <c r="F1882" s="1159">
        <v>2</v>
      </c>
      <c r="G1882" s="1159"/>
      <c r="H1882" s="1173">
        <f t="shared" si="254"/>
        <v>0</v>
      </c>
      <c r="I1882" s="1155">
        <f t="shared" si="258"/>
        <v>5</v>
      </c>
      <c r="J1882" s="695">
        <f t="shared" si="257"/>
        <v>0</v>
      </c>
      <c r="K1882" s="855">
        <f t="shared" si="255"/>
        <v>0</v>
      </c>
    </row>
    <row r="1883" spans="1:11" ht="24.95" customHeight="1">
      <c r="A1883" s="1165" t="s">
        <v>4274</v>
      </c>
      <c r="B1883" s="1181" t="s">
        <v>4275</v>
      </c>
      <c r="C1883" s="1159">
        <v>10</v>
      </c>
      <c r="D1883" s="1159">
        <v>3</v>
      </c>
      <c r="E1883" s="1173">
        <f t="shared" si="253"/>
        <v>0.3</v>
      </c>
      <c r="F1883" s="1159">
        <v>5</v>
      </c>
      <c r="G1883" s="1159"/>
      <c r="H1883" s="1173">
        <f t="shared" si="254"/>
        <v>0</v>
      </c>
      <c r="I1883" s="1155">
        <f t="shared" si="258"/>
        <v>15</v>
      </c>
      <c r="J1883" s="695">
        <f t="shared" si="257"/>
        <v>3</v>
      </c>
      <c r="K1883" s="855">
        <f t="shared" si="255"/>
        <v>0.2</v>
      </c>
    </row>
    <row r="1884" spans="1:11" ht="24.95" customHeight="1">
      <c r="A1884" s="1165" t="s">
        <v>4276</v>
      </c>
      <c r="B1884" s="1181" t="s">
        <v>4277</v>
      </c>
      <c r="C1884" s="1159">
        <v>3</v>
      </c>
      <c r="D1884" s="1159">
        <v>2</v>
      </c>
      <c r="E1884" s="1173">
        <f t="shared" si="253"/>
        <v>0.66666666666666663</v>
      </c>
      <c r="F1884" s="1159">
        <v>1</v>
      </c>
      <c r="G1884" s="1159"/>
      <c r="H1884" s="1173">
        <f t="shared" si="254"/>
        <v>0</v>
      </c>
      <c r="I1884" s="1155">
        <f t="shared" si="258"/>
        <v>4</v>
      </c>
      <c r="J1884" s="695">
        <f t="shared" si="257"/>
        <v>2</v>
      </c>
      <c r="K1884" s="855">
        <f t="shared" si="255"/>
        <v>0.5</v>
      </c>
    </row>
    <row r="1885" spans="1:11" ht="24.95" customHeight="1">
      <c r="A1885" s="1165" t="s">
        <v>4278</v>
      </c>
      <c r="B1885" s="1166" t="s">
        <v>4279</v>
      </c>
      <c r="C1885" s="1159">
        <v>5</v>
      </c>
      <c r="D1885" s="1159">
        <v>2</v>
      </c>
      <c r="E1885" s="1173">
        <f t="shared" si="253"/>
        <v>0.4</v>
      </c>
      <c r="F1885" s="1159">
        <v>2</v>
      </c>
      <c r="G1885" s="1159"/>
      <c r="H1885" s="1173">
        <f t="shared" si="254"/>
        <v>0</v>
      </c>
      <c r="I1885" s="1155">
        <f t="shared" si="258"/>
        <v>7</v>
      </c>
      <c r="J1885" s="695">
        <f t="shared" si="257"/>
        <v>2</v>
      </c>
      <c r="K1885" s="855">
        <f t="shared" si="255"/>
        <v>0.2857142857142857</v>
      </c>
    </row>
    <row r="1886" spans="1:11" ht="24.95" customHeight="1">
      <c r="A1886" s="1165" t="s">
        <v>4280</v>
      </c>
      <c r="B1886" s="1166" t="s">
        <v>4281</v>
      </c>
      <c r="C1886" s="1159">
        <v>4</v>
      </c>
      <c r="D1886" s="1159"/>
      <c r="E1886" s="1173">
        <f t="shared" si="253"/>
        <v>0</v>
      </c>
      <c r="F1886" s="1159"/>
      <c r="G1886" s="1159"/>
      <c r="H1886" s="1173" t="e">
        <f t="shared" si="254"/>
        <v>#DIV/0!</v>
      </c>
      <c r="I1886" s="1155">
        <f t="shared" si="258"/>
        <v>4</v>
      </c>
      <c r="J1886" s="695">
        <f t="shared" si="257"/>
        <v>0</v>
      </c>
      <c r="K1886" s="855">
        <f t="shared" si="255"/>
        <v>0</v>
      </c>
    </row>
    <row r="1887" spans="1:11" ht="24.95" customHeight="1">
      <c r="A1887" s="1165" t="s">
        <v>4282</v>
      </c>
      <c r="B1887" s="1166" t="s">
        <v>4283</v>
      </c>
      <c r="C1887" s="1159">
        <v>2</v>
      </c>
      <c r="D1887" s="1159"/>
      <c r="E1887" s="1173">
        <f t="shared" si="253"/>
        <v>0</v>
      </c>
      <c r="F1887" s="1159">
        <v>1</v>
      </c>
      <c r="G1887" s="1159"/>
      <c r="H1887" s="1173">
        <f t="shared" si="254"/>
        <v>0</v>
      </c>
      <c r="I1887" s="1155">
        <f t="shared" si="258"/>
        <v>3</v>
      </c>
      <c r="J1887" s="695">
        <f t="shared" si="257"/>
        <v>0</v>
      </c>
      <c r="K1887" s="855">
        <f t="shared" si="255"/>
        <v>0</v>
      </c>
    </row>
    <row r="1888" spans="1:11" ht="24.95" customHeight="1">
      <c r="A1888" s="1165" t="s">
        <v>4284</v>
      </c>
      <c r="B1888" s="1183" t="s">
        <v>4285</v>
      </c>
      <c r="C1888" s="1158">
        <v>20</v>
      </c>
      <c r="D1888" s="1159">
        <v>19</v>
      </c>
      <c r="E1888" s="1173">
        <f t="shared" si="253"/>
        <v>0.95</v>
      </c>
      <c r="F1888" s="1159">
        <v>215</v>
      </c>
      <c r="G1888" s="1159">
        <v>51</v>
      </c>
      <c r="H1888" s="1173">
        <f t="shared" si="254"/>
        <v>0.23720930232558141</v>
      </c>
      <c r="I1888" s="1155">
        <f t="shared" si="258"/>
        <v>235</v>
      </c>
      <c r="J1888" s="695">
        <f t="shared" si="257"/>
        <v>70</v>
      </c>
      <c r="K1888" s="855">
        <f t="shared" si="255"/>
        <v>0.2978723404255319</v>
      </c>
    </row>
    <row r="1889" spans="1:11" ht="24.95" customHeight="1">
      <c r="A1889" s="1187" t="s">
        <v>4286</v>
      </c>
      <c r="B1889" s="1188" t="s">
        <v>4287</v>
      </c>
      <c r="C1889" s="917"/>
      <c r="D1889" s="917"/>
      <c r="E1889" s="1173" t="e">
        <f t="shared" si="253"/>
        <v>#DIV/0!</v>
      </c>
      <c r="F1889" s="917">
        <v>1</v>
      </c>
      <c r="G1889" s="917"/>
      <c r="H1889" s="1173">
        <f t="shared" si="254"/>
        <v>0</v>
      </c>
      <c r="I1889" s="919">
        <f t="shared" si="258"/>
        <v>1</v>
      </c>
      <c r="J1889" s="695">
        <f t="shared" si="257"/>
        <v>0</v>
      </c>
      <c r="K1889" s="855">
        <f t="shared" si="255"/>
        <v>0</v>
      </c>
    </row>
    <row r="1890" spans="1:11" ht="24.95" customHeight="1">
      <c r="A1890" s="1165" t="s">
        <v>4288</v>
      </c>
      <c r="B1890" s="1183" t="s">
        <v>4289</v>
      </c>
      <c r="C1890" s="1159">
        <v>1</v>
      </c>
      <c r="D1890" s="1159"/>
      <c r="E1890" s="1173">
        <f t="shared" si="253"/>
        <v>0</v>
      </c>
      <c r="F1890" s="1159"/>
      <c r="G1890" s="1159"/>
      <c r="H1890" s="1173" t="e">
        <f t="shared" si="254"/>
        <v>#DIV/0!</v>
      </c>
      <c r="I1890" s="1155">
        <f t="shared" si="258"/>
        <v>1</v>
      </c>
      <c r="J1890" s="695">
        <f t="shared" si="257"/>
        <v>0</v>
      </c>
      <c r="K1890" s="855">
        <f t="shared" si="255"/>
        <v>0</v>
      </c>
    </row>
    <row r="1891" spans="1:11" ht="24.95" customHeight="1">
      <c r="A1891" s="1165" t="s">
        <v>4290</v>
      </c>
      <c r="B1891" s="1167" t="s">
        <v>4291</v>
      </c>
      <c r="C1891" s="1159">
        <v>20</v>
      </c>
      <c r="D1891" s="1159">
        <v>10</v>
      </c>
      <c r="E1891" s="1173">
        <f t="shared" si="253"/>
        <v>0.5</v>
      </c>
      <c r="F1891" s="1159"/>
      <c r="G1891" s="1159"/>
      <c r="H1891" s="1173" t="e">
        <f t="shared" si="254"/>
        <v>#DIV/0!</v>
      </c>
      <c r="I1891" s="1155">
        <f t="shared" si="258"/>
        <v>20</v>
      </c>
      <c r="J1891" s="695">
        <f t="shared" si="257"/>
        <v>10</v>
      </c>
      <c r="K1891" s="855">
        <f t="shared" si="255"/>
        <v>0.5</v>
      </c>
    </row>
    <row r="1892" spans="1:11" ht="24.95" customHeight="1">
      <c r="A1892" s="1156" t="s">
        <v>4292</v>
      </c>
      <c r="B1892" s="1175" t="s">
        <v>4293</v>
      </c>
      <c r="C1892" s="1159">
        <v>12600</v>
      </c>
      <c r="D1892" s="1159">
        <v>6137</v>
      </c>
      <c r="E1892" s="1173">
        <f t="shared" si="253"/>
        <v>0.48706349206349209</v>
      </c>
      <c r="F1892" s="1159">
        <v>115</v>
      </c>
      <c r="G1892" s="1159">
        <v>11</v>
      </c>
      <c r="H1892" s="1173">
        <f t="shared" si="254"/>
        <v>9.5652173913043481E-2</v>
      </c>
      <c r="I1892" s="1155">
        <f t="shared" si="258"/>
        <v>12715</v>
      </c>
      <c r="J1892" s="695">
        <f t="shared" si="257"/>
        <v>6148</v>
      </c>
      <c r="K1892" s="855">
        <f t="shared" si="255"/>
        <v>0.48352339756193474</v>
      </c>
    </row>
    <row r="1893" spans="1:11" ht="24.95" customHeight="1">
      <c r="A1893" s="1184" t="s">
        <v>4294</v>
      </c>
      <c r="B1893" s="1189" t="s">
        <v>4295</v>
      </c>
      <c r="C1893" s="1159">
        <v>3</v>
      </c>
      <c r="D1893" s="1159"/>
      <c r="E1893" s="1173">
        <f t="shared" si="253"/>
        <v>0</v>
      </c>
      <c r="F1893" s="1159"/>
      <c r="G1893" s="1159"/>
      <c r="H1893" s="1173" t="e">
        <f t="shared" si="254"/>
        <v>#DIV/0!</v>
      </c>
      <c r="I1893" s="1155">
        <f t="shared" si="258"/>
        <v>3</v>
      </c>
      <c r="J1893" s="695">
        <f t="shared" si="257"/>
        <v>0</v>
      </c>
      <c r="K1893" s="855">
        <f t="shared" si="255"/>
        <v>0</v>
      </c>
    </row>
    <row r="1894" spans="1:11" ht="24.95" customHeight="1">
      <c r="A1894" s="1184" t="s">
        <v>3619</v>
      </c>
      <c r="B1894" s="1190" t="s">
        <v>3620</v>
      </c>
      <c r="C1894" s="1158"/>
      <c r="D1894" s="1159"/>
      <c r="E1894" s="1173" t="e">
        <f t="shared" si="253"/>
        <v>#DIV/0!</v>
      </c>
      <c r="F1894" s="1159">
        <v>10</v>
      </c>
      <c r="G1894" s="1159"/>
      <c r="H1894" s="1173">
        <f t="shared" si="254"/>
        <v>0</v>
      </c>
      <c r="I1894" s="1155">
        <f t="shared" si="258"/>
        <v>10</v>
      </c>
      <c r="J1894" s="695">
        <f t="shared" si="257"/>
        <v>0</v>
      </c>
      <c r="K1894" s="855">
        <f t="shared" si="255"/>
        <v>0</v>
      </c>
    </row>
    <row r="1895" spans="1:11" ht="24.95" customHeight="1">
      <c r="A1895" s="1184" t="s">
        <v>4296</v>
      </c>
      <c r="B1895" s="1190" t="s">
        <v>4297</v>
      </c>
      <c r="C1895" s="1159"/>
      <c r="D1895" s="1159"/>
      <c r="E1895" s="1173" t="e">
        <f t="shared" si="253"/>
        <v>#DIV/0!</v>
      </c>
      <c r="F1895" s="1159"/>
      <c r="G1895" s="1159"/>
      <c r="H1895" s="1173" t="e">
        <f t="shared" si="254"/>
        <v>#DIV/0!</v>
      </c>
      <c r="I1895" s="1155">
        <f t="shared" si="258"/>
        <v>0</v>
      </c>
      <c r="J1895" s="695">
        <f t="shared" si="257"/>
        <v>0</v>
      </c>
      <c r="K1895" s="855" t="e">
        <f t="shared" si="255"/>
        <v>#DIV/0!</v>
      </c>
    </row>
    <row r="1896" spans="1:11" ht="24.95" customHeight="1">
      <c r="A1896" s="1184" t="s">
        <v>4298</v>
      </c>
      <c r="B1896" s="1190" t="s">
        <v>4299</v>
      </c>
      <c r="C1896" s="1159">
        <v>25</v>
      </c>
      <c r="D1896" s="1159">
        <v>17</v>
      </c>
      <c r="E1896" s="1173">
        <f t="shared" si="253"/>
        <v>0.68</v>
      </c>
      <c r="F1896" s="1159">
        <v>20</v>
      </c>
      <c r="G1896" s="1159"/>
      <c r="H1896" s="1173">
        <f t="shared" si="254"/>
        <v>0</v>
      </c>
      <c r="I1896" s="1155">
        <f t="shared" si="258"/>
        <v>45</v>
      </c>
      <c r="J1896" s="695">
        <f t="shared" si="257"/>
        <v>17</v>
      </c>
      <c r="K1896" s="855">
        <f t="shared" si="255"/>
        <v>0.37777777777777777</v>
      </c>
    </row>
    <row r="1897" spans="1:11" ht="24.95" customHeight="1">
      <c r="A1897" s="1184" t="s">
        <v>4300</v>
      </c>
      <c r="B1897" s="1190" t="s">
        <v>4301</v>
      </c>
      <c r="C1897" s="1159">
        <v>5</v>
      </c>
      <c r="D1897" s="1159"/>
      <c r="E1897" s="1173">
        <f t="shared" si="253"/>
        <v>0</v>
      </c>
      <c r="F1897" s="1159"/>
      <c r="G1897" s="1159"/>
      <c r="H1897" s="1173" t="e">
        <f t="shared" si="254"/>
        <v>#DIV/0!</v>
      </c>
      <c r="I1897" s="1155">
        <f t="shared" si="258"/>
        <v>5</v>
      </c>
      <c r="J1897" s="695">
        <f t="shared" si="257"/>
        <v>0</v>
      </c>
      <c r="K1897" s="855">
        <f t="shared" si="255"/>
        <v>0</v>
      </c>
    </row>
    <row r="1898" spans="1:11" ht="24.95" customHeight="1">
      <c r="A1898" s="1184" t="s">
        <v>4302</v>
      </c>
      <c r="B1898" s="1189" t="s">
        <v>4303</v>
      </c>
      <c r="C1898" s="1159">
        <v>2400</v>
      </c>
      <c r="D1898" s="1159">
        <v>2333</v>
      </c>
      <c r="E1898" s="1173">
        <f t="shared" si="253"/>
        <v>0.9720833333333333</v>
      </c>
      <c r="F1898" s="1159"/>
      <c r="G1898" s="1159"/>
      <c r="H1898" s="1173" t="e">
        <f t="shared" si="254"/>
        <v>#DIV/0!</v>
      </c>
      <c r="I1898" s="1155">
        <f t="shared" si="258"/>
        <v>2400</v>
      </c>
      <c r="J1898" s="695">
        <f t="shared" si="257"/>
        <v>2333</v>
      </c>
      <c r="K1898" s="855">
        <f t="shared" si="255"/>
        <v>0.9720833333333333</v>
      </c>
    </row>
    <row r="1899" spans="1:11" ht="24.95" customHeight="1">
      <c r="A1899" s="1191" t="s">
        <v>4304</v>
      </c>
      <c r="B1899" s="1192" t="s">
        <v>4305</v>
      </c>
      <c r="C1899" s="1159"/>
      <c r="D1899" s="1159"/>
      <c r="E1899" s="1173" t="e">
        <f t="shared" si="253"/>
        <v>#DIV/0!</v>
      </c>
      <c r="F1899" s="1159"/>
      <c r="G1899" s="1159"/>
      <c r="H1899" s="1173" t="e">
        <f t="shared" si="254"/>
        <v>#DIV/0!</v>
      </c>
      <c r="I1899" s="1155">
        <f t="shared" si="258"/>
        <v>0</v>
      </c>
      <c r="J1899" s="695">
        <f t="shared" si="257"/>
        <v>0</v>
      </c>
      <c r="K1899" s="855" t="e">
        <f t="shared" si="255"/>
        <v>#DIV/0!</v>
      </c>
    </row>
    <row r="1900" spans="1:11" ht="24.95" customHeight="1">
      <c r="A1900" s="1156" t="s">
        <v>4306</v>
      </c>
      <c r="B1900" s="1175" t="s">
        <v>4307</v>
      </c>
      <c r="C1900" s="1158">
        <v>24400</v>
      </c>
      <c r="D1900" s="1159">
        <v>15151</v>
      </c>
      <c r="E1900" s="1173">
        <f t="shared" si="253"/>
        <v>0.6209426229508197</v>
      </c>
      <c r="F1900" s="1159">
        <v>180</v>
      </c>
      <c r="G1900" s="1159">
        <v>30</v>
      </c>
      <c r="H1900" s="1173">
        <f t="shared" si="254"/>
        <v>0.16666666666666666</v>
      </c>
      <c r="I1900" s="1155">
        <f t="shared" si="258"/>
        <v>24580</v>
      </c>
      <c r="J1900" s="695">
        <f t="shared" si="257"/>
        <v>15181</v>
      </c>
      <c r="K1900" s="855">
        <f t="shared" si="255"/>
        <v>0.61761594792514241</v>
      </c>
    </row>
    <row r="1901" spans="1:11" ht="24.95" customHeight="1">
      <c r="A1901" s="1184" t="s">
        <v>4308</v>
      </c>
      <c r="B1901" s="1189" t="s">
        <v>4309</v>
      </c>
      <c r="C1901" s="1159">
        <v>3</v>
      </c>
      <c r="D1901" s="1159"/>
      <c r="E1901" s="1173">
        <f t="shared" si="253"/>
        <v>0</v>
      </c>
      <c r="F1901" s="1159"/>
      <c r="G1901" s="1159"/>
      <c r="H1901" s="1173" t="e">
        <f t="shared" si="254"/>
        <v>#DIV/0!</v>
      </c>
      <c r="I1901" s="1155">
        <f t="shared" si="258"/>
        <v>3</v>
      </c>
      <c r="J1901" s="695">
        <f t="shared" si="257"/>
        <v>0</v>
      </c>
      <c r="K1901" s="855">
        <f t="shared" si="255"/>
        <v>0</v>
      </c>
    </row>
    <row r="1902" spans="1:11" ht="24.95" customHeight="1">
      <c r="A1902" s="1184" t="s">
        <v>4310</v>
      </c>
      <c r="B1902" s="1190" t="s">
        <v>4311</v>
      </c>
      <c r="C1902" s="1158">
        <v>4000</v>
      </c>
      <c r="D1902" s="1159">
        <v>1790</v>
      </c>
      <c r="E1902" s="1173">
        <f t="shared" si="253"/>
        <v>0.44750000000000001</v>
      </c>
      <c r="F1902" s="1159">
        <v>2</v>
      </c>
      <c r="G1902" s="1159"/>
      <c r="H1902" s="1173">
        <f t="shared" si="254"/>
        <v>0</v>
      </c>
      <c r="I1902" s="1155">
        <f t="shared" si="258"/>
        <v>4002</v>
      </c>
      <c r="J1902" s="695">
        <f t="shared" si="257"/>
        <v>1790</v>
      </c>
      <c r="K1902" s="855">
        <f t="shared" si="255"/>
        <v>0.44727636181909047</v>
      </c>
    </row>
    <row r="1903" spans="1:11" ht="24.95" customHeight="1">
      <c r="A1903" s="1184" t="s">
        <v>4312</v>
      </c>
      <c r="B1903" s="1189" t="s">
        <v>4313</v>
      </c>
      <c r="C1903" s="1159">
        <v>1</v>
      </c>
      <c r="D1903" s="1159"/>
      <c r="E1903" s="1173">
        <f t="shared" si="253"/>
        <v>0</v>
      </c>
      <c r="F1903" s="1159"/>
      <c r="G1903" s="1159"/>
      <c r="H1903" s="1173" t="e">
        <f t="shared" si="254"/>
        <v>#DIV/0!</v>
      </c>
      <c r="I1903" s="1155">
        <f t="shared" si="258"/>
        <v>1</v>
      </c>
      <c r="J1903" s="695">
        <f t="shared" si="257"/>
        <v>0</v>
      </c>
      <c r="K1903" s="855">
        <f t="shared" si="255"/>
        <v>0</v>
      </c>
    </row>
    <row r="1904" spans="1:11" ht="24.95" customHeight="1">
      <c r="A1904" s="1156" t="s">
        <v>4314</v>
      </c>
      <c r="B1904" s="1175" t="s">
        <v>4315</v>
      </c>
      <c r="C1904" s="1158">
        <v>4000</v>
      </c>
      <c r="D1904" s="1159">
        <v>1791</v>
      </c>
      <c r="E1904" s="1173">
        <f t="shared" si="253"/>
        <v>0.44774999999999998</v>
      </c>
      <c r="F1904" s="1159">
        <v>2</v>
      </c>
      <c r="G1904" s="1159"/>
      <c r="H1904" s="1173">
        <f t="shared" si="254"/>
        <v>0</v>
      </c>
      <c r="I1904" s="1155">
        <f t="shared" si="258"/>
        <v>4002</v>
      </c>
      <c r="J1904" s="695">
        <f t="shared" si="257"/>
        <v>1791</v>
      </c>
      <c r="K1904" s="855">
        <f t="shared" si="255"/>
        <v>0.44752623688155924</v>
      </c>
    </row>
    <row r="1905" spans="1:11" ht="24.95" customHeight="1">
      <c r="A1905" s="1156" t="s">
        <v>4316</v>
      </c>
      <c r="B1905" s="1175" t="s">
        <v>4317</v>
      </c>
      <c r="C1905" s="1159">
        <v>2</v>
      </c>
      <c r="D1905" s="1159"/>
      <c r="E1905" s="1173">
        <f t="shared" si="253"/>
        <v>0</v>
      </c>
      <c r="F1905" s="1159"/>
      <c r="G1905" s="1159"/>
      <c r="H1905" s="1173" t="e">
        <f t="shared" si="254"/>
        <v>#DIV/0!</v>
      </c>
      <c r="I1905" s="1155">
        <f t="shared" si="258"/>
        <v>2</v>
      </c>
      <c r="J1905" s="695">
        <f t="shared" si="257"/>
        <v>0</v>
      </c>
      <c r="K1905" s="855">
        <f t="shared" si="255"/>
        <v>0</v>
      </c>
    </row>
    <row r="1906" spans="1:11" ht="24.95" customHeight="1">
      <c r="A1906" s="1156" t="s">
        <v>4318</v>
      </c>
      <c r="B1906" s="1175" t="s">
        <v>4319</v>
      </c>
      <c r="C1906" s="1159">
        <v>2150</v>
      </c>
      <c r="D1906" s="1159">
        <v>961</v>
      </c>
      <c r="E1906" s="1173">
        <f t="shared" ref="E1906:E1969" si="259">+D1906/C1906</f>
        <v>0.44697674418604649</v>
      </c>
      <c r="F1906" s="1159">
        <v>2</v>
      </c>
      <c r="G1906" s="1159"/>
      <c r="H1906" s="1173">
        <f t="shared" ref="H1906:H1969" si="260">+G1906/F1906</f>
        <v>0</v>
      </c>
      <c r="I1906" s="1155">
        <f t="shared" si="258"/>
        <v>2152</v>
      </c>
      <c r="J1906" s="695">
        <f t="shared" si="257"/>
        <v>961</v>
      </c>
      <c r="K1906" s="855">
        <f t="shared" ref="K1906:K1969" si="261">+J1906/I1906</f>
        <v>0.44656133828996281</v>
      </c>
    </row>
    <row r="1907" spans="1:11" ht="24.95" customHeight="1">
      <c r="A1907" s="1156" t="s">
        <v>4320</v>
      </c>
      <c r="B1907" s="1175" t="s">
        <v>4321</v>
      </c>
      <c r="C1907" s="1158">
        <v>2000</v>
      </c>
      <c r="D1907" s="1159">
        <v>881</v>
      </c>
      <c r="E1907" s="1173">
        <f t="shared" si="259"/>
        <v>0.4405</v>
      </c>
      <c r="F1907" s="1159">
        <v>2</v>
      </c>
      <c r="G1907" s="1159"/>
      <c r="H1907" s="1173">
        <f t="shared" si="260"/>
        <v>0</v>
      </c>
      <c r="I1907" s="1155">
        <f t="shared" si="258"/>
        <v>2002</v>
      </c>
      <c r="J1907" s="695">
        <f t="shared" si="257"/>
        <v>881</v>
      </c>
      <c r="K1907" s="855">
        <f t="shared" si="261"/>
        <v>0.44005994005994004</v>
      </c>
    </row>
    <row r="1908" spans="1:11" ht="24.95" customHeight="1">
      <c r="A1908" s="1156" t="s">
        <v>4322</v>
      </c>
      <c r="B1908" s="1175" t="s">
        <v>4323</v>
      </c>
      <c r="C1908" s="1158">
        <v>4000</v>
      </c>
      <c r="D1908" s="1159">
        <v>1791</v>
      </c>
      <c r="E1908" s="1173">
        <f t="shared" si="259"/>
        <v>0.44774999999999998</v>
      </c>
      <c r="F1908" s="1159">
        <v>4</v>
      </c>
      <c r="G1908" s="1159"/>
      <c r="H1908" s="1173">
        <f t="shared" si="260"/>
        <v>0</v>
      </c>
      <c r="I1908" s="1155">
        <f t="shared" si="258"/>
        <v>4004</v>
      </c>
      <c r="J1908" s="695">
        <f t="shared" si="257"/>
        <v>1791</v>
      </c>
      <c r="K1908" s="855">
        <f t="shared" si="261"/>
        <v>0.44730269730269728</v>
      </c>
    </row>
    <row r="1909" spans="1:11" ht="24.95" customHeight="1">
      <c r="A1909" s="1156" t="s">
        <v>4324</v>
      </c>
      <c r="B1909" s="1175" t="s">
        <v>4325</v>
      </c>
      <c r="C1909" s="1159">
        <v>1400</v>
      </c>
      <c r="D1909" s="1159">
        <v>613</v>
      </c>
      <c r="E1909" s="1173">
        <f t="shared" si="259"/>
        <v>0.43785714285714283</v>
      </c>
      <c r="F1909" s="1159">
        <v>2</v>
      </c>
      <c r="G1909" s="1159"/>
      <c r="H1909" s="1173">
        <f t="shared" si="260"/>
        <v>0</v>
      </c>
      <c r="I1909" s="1155">
        <f t="shared" si="258"/>
        <v>1402</v>
      </c>
      <c r="J1909" s="695">
        <f t="shared" si="257"/>
        <v>613</v>
      </c>
      <c r="K1909" s="855">
        <f t="shared" si="261"/>
        <v>0.43723252496433668</v>
      </c>
    </row>
    <row r="1910" spans="1:11" ht="24.95" customHeight="1">
      <c r="A1910" s="1156" t="s">
        <v>4326</v>
      </c>
      <c r="B1910" s="1175" t="s">
        <v>4327</v>
      </c>
      <c r="C1910" s="1159">
        <v>4000</v>
      </c>
      <c r="D1910" s="1159">
        <v>1790</v>
      </c>
      <c r="E1910" s="1173">
        <f t="shared" si="259"/>
        <v>0.44750000000000001</v>
      </c>
      <c r="F1910" s="1159">
        <v>2</v>
      </c>
      <c r="G1910" s="1159"/>
      <c r="H1910" s="1173">
        <f t="shared" si="260"/>
        <v>0</v>
      </c>
      <c r="I1910" s="1155">
        <f t="shared" si="258"/>
        <v>4002</v>
      </c>
      <c r="J1910" s="695">
        <f t="shared" si="257"/>
        <v>1790</v>
      </c>
      <c r="K1910" s="855">
        <f t="shared" si="261"/>
        <v>0.44727636181909047</v>
      </c>
    </row>
    <row r="1911" spans="1:11" ht="24.95" customHeight="1">
      <c r="A1911" s="1156" t="s">
        <v>4328</v>
      </c>
      <c r="B1911" s="1175" t="s">
        <v>4329</v>
      </c>
      <c r="C1911" s="1158">
        <v>750</v>
      </c>
      <c r="D1911" s="1159">
        <v>327</v>
      </c>
      <c r="E1911" s="1173">
        <f t="shared" si="259"/>
        <v>0.436</v>
      </c>
      <c r="F1911" s="1159"/>
      <c r="G1911" s="1159"/>
      <c r="H1911" s="1173" t="e">
        <f t="shared" si="260"/>
        <v>#DIV/0!</v>
      </c>
      <c r="I1911" s="1155">
        <f t="shared" si="258"/>
        <v>750</v>
      </c>
      <c r="J1911" s="695">
        <f t="shared" si="257"/>
        <v>327</v>
      </c>
      <c r="K1911" s="855">
        <f t="shared" si="261"/>
        <v>0.436</v>
      </c>
    </row>
    <row r="1912" spans="1:11" ht="24.95" customHeight="1">
      <c r="A1912" s="1193" t="s">
        <v>4330</v>
      </c>
      <c r="B1912" s="1192" t="s">
        <v>4331</v>
      </c>
      <c r="C1912" s="1159">
        <v>5</v>
      </c>
      <c r="D1912" s="1159">
        <v>1</v>
      </c>
      <c r="E1912" s="1173">
        <f t="shared" si="259"/>
        <v>0.2</v>
      </c>
      <c r="F1912" s="1159"/>
      <c r="G1912" s="1159"/>
      <c r="H1912" s="1173" t="e">
        <f t="shared" si="260"/>
        <v>#DIV/0!</v>
      </c>
      <c r="I1912" s="1155">
        <f t="shared" si="258"/>
        <v>5</v>
      </c>
      <c r="J1912" s="695">
        <f t="shared" si="257"/>
        <v>1</v>
      </c>
      <c r="K1912" s="855">
        <f t="shared" si="261"/>
        <v>0.2</v>
      </c>
    </row>
    <row r="1913" spans="1:11" ht="24.95" customHeight="1">
      <c r="A1913" s="1156" t="s">
        <v>4332</v>
      </c>
      <c r="B1913" s="1175" t="s">
        <v>4333</v>
      </c>
      <c r="C1913" s="1158">
        <v>750</v>
      </c>
      <c r="D1913" s="1159">
        <v>327</v>
      </c>
      <c r="E1913" s="1173">
        <f t="shared" si="259"/>
        <v>0.436</v>
      </c>
      <c r="F1913" s="1159"/>
      <c r="G1913" s="1159"/>
      <c r="H1913" s="1173" t="e">
        <f t="shared" si="260"/>
        <v>#DIV/0!</v>
      </c>
      <c r="I1913" s="1155">
        <f t="shared" si="258"/>
        <v>750</v>
      </c>
      <c r="J1913" s="695">
        <f t="shared" si="257"/>
        <v>327</v>
      </c>
      <c r="K1913" s="855">
        <f t="shared" si="261"/>
        <v>0.436</v>
      </c>
    </row>
    <row r="1914" spans="1:11" ht="24.95" customHeight="1">
      <c r="A1914" s="1156" t="s">
        <v>4334</v>
      </c>
      <c r="B1914" s="1175" t="s">
        <v>4335</v>
      </c>
      <c r="C1914" s="1159">
        <v>900</v>
      </c>
      <c r="D1914" s="1159">
        <v>392</v>
      </c>
      <c r="E1914" s="1173">
        <f t="shared" si="259"/>
        <v>0.43555555555555553</v>
      </c>
      <c r="F1914" s="1159"/>
      <c r="G1914" s="1159"/>
      <c r="H1914" s="1173" t="e">
        <f t="shared" si="260"/>
        <v>#DIV/0!</v>
      </c>
      <c r="I1914" s="1155">
        <f t="shared" si="258"/>
        <v>900</v>
      </c>
      <c r="J1914" s="695">
        <f t="shared" si="257"/>
        <v>392</v>
      </c>
      <c r="K1914" s="855">
        <f t="shared" si="261"/>
        <v>0.43555555555555553</v>
      </c>
    </row>
    <row r="1915" spans="1:11" ht="24.95" customHeight="1">
      <c r="A1915" s="1184" t="s">
        <v>4336</v>
      </c>
      <c r="B1915" s="1190" t="s">
        <v>4337</v>
      </c>
      <c r="C1915" s="1158">
        <v>750</v>
      </c>
      <c r="D1915" s="1159">
        <v>327</v>
      </c>
      <c r="E1915" s="1173">
        <f t="shared" si="259"/>
        <v>0.436</v>
      </c>
      <c r="F1915" s="1159">
        <v>2</v>
      </c>
      <c r="G1915" s="1159"/>
      <c r="H1915" s="1173">
        <f t="shared" si="260"/>
        <v>0</v>
      </c>
      <c r="I1915" s="1155">
        <f t="shared" si="258"/>
        <v>752</v>
      </c>
      <c r="J1915" s="695">
        <f t="shared" si="257"/>
        <v>327</v>
      </c>
      <c r="K1915" s="855">
        <f t="shared" si="261"/>
        <v>0.43484042553191488</v>
      </c>
    </row>
    <row r="1916" spans="1:11" ht="24.95" customHeight="1">
      <c r="A1916" s="1156" t="s">
        <v>4338</v>
      </c>
      <c r="B1916" s="1175" t="s">
        <v>4339</v>
      </c>
      <c r="C1916" s="1159"/>
      <c r="D1916" s="1159"/>
      <c r="E1916" s="1173" t="e">
        <f t="shared" si="259"/>
        <v>#DIV/0!</v>
      </c>
      <c r="F1916" s="1159"/>
      <c r="G1916" s="1159"/>
      <c r="H1916" s="1173" t="e">
        <f t="shared" si="260"/>
        <v>#DIV/0!</v>
      </c>
      <c r="I1916" s="1155">
        <f t="shared" si="258"/>
        <v>0</v>
      </c>
      <c r="J1916" s="695">
        <f t="shared" si="257"/>
        <v>0</v>
      </c>
      <c r="K1916" s="855" t="e">
        <f t="shared" si="261"/>
        <v>#DIV/0!</v>
      </c>
    </row>
    <row r="1917" spans="1:11" ht="24.95" customHeight="1">
      <c r="A1917" s="1156" t="s">
        <v>4340</v>
      </c>
      <c r="B1917" s="1175" t="s">
        <v>4341</v>
      </c>
      <c r="C1917" s="1159">
        <v>2</v>
      </c>
      <c r="D1917" s="1159">
        <v>1</v>
      </c>
      <c r="E1917" s="1173">
        <f t="shared" si="259"/>
        <v>0.5</v>
      </c>
      <c r="F1917" s="1159">
        <v>2</v>
      </c>
      <c r="G1917" s="1159"/>
      <c r="H1917" s="1173">
        <f t="shared" si="260"/>
        <v>0</v>
      </c>
      <c r="I1917" s="1155"/>
      <c r="J1917" s="695">
        <f t="shared" si="257"/>
        <v>1</v>
      </c>
      <c r="K1917" s="855" t="e">
        <f t="shared" si="261"/>
        <v>#DIV/0!</v>
      </c>
    </row>
    <row r="1918" spans="1:11" ht="24.95" customHeight="1">
      <c r="A1918" s="1156" t="s">
        <v>4342</v>
      </c>
      <c r="B1918" s="1175" t="s">
        <v>4343</v>
      </c>
      <c r="C1918" s="1159"/>
      <c r="D1918" s="1159"/>
      <c r="E1918" s="1173" t="e">
        <f t="shared" si="259"/>
        <v>#DIV/0!</v>
      </c>
      <c r="F1918" s="1159">
        <v>10</v>
      </c>
      <c r="G1918" s="1159"/>
      <c r="H1918" s="1173">
        <f t="shared" si="260"/>
        <v>0</v>
      </c>
      <c r="I1918" s="1155"/>
      <c r="J1918" s="695">
        <f t="shared" si="257"/>
        <v>0</v>
      </c>
      <c r="K1918" s="855" t="e">
        <f t="shared" si="261"/>
        <v>#DIV/0!</v>
      </c>
    </row>
    <row r="1919" spans="1:11" ht="24.95" customHeight="1">
      <c r="A1919" s="1184" t="s">
        <v>4344</v>
      </c>
      <c r="B1919" s="1189" t="s">
        <v>4345</v>
      </c>
      <c r="C1919" s="1159">
        <v>50</v>
      </c>
      <c r="D1919" s="1159">
        <v>14</v>
      </c>
      <c r="E1919" s="1173">
        <f t="shared" si="259"/>
        <v>0.28000000000000003</v>
      </c>
      <c r="F1919" s="1159">
        <v>11</v>
      </c>
      <c r="G1919" s="1159">
        <v>1</v>
      </c>
      <c r="H1919" s="1173">
        <f t="shared" si="260"/>
        <v>9.0909090909090912E-2</v>
      </c>
      <c r="I1919" s="1155">
        <f t="shared" ref="I1919:J1950" si="262">+C1919+F1919</f>
        <v>61</v>
      </c>
      <c r="J1919" s="695">
        <f t="shared" si="257"/>
        <v>15</v>
      </c>
      <c r="K1919" s="855">
        <f t="shared" si="261"/>
        <v>0.24590163934426229</v>
      </c>
    </row>
    <row r="1920" spans="1:11" ht="24.95" customHeight="1">
      <c r="A1920" s="1184" t="s">
        <v>4346</v>
      </c>
      <c r="B1920" s="1189" t="s">
        <v>4347</v>
      </c>
      <c r="C1920" s="1159">
        <v>3</v>
      </c>
      <c r="D1920" s="1159">
        <v>1</v>
      </c>
      <c r="E1920" s="1173">
        <f t="shared" si="259"/>
        <v>0.33333333333333331</v>
      </c>
      <c r="F1920" s="1159">
        <v>30</v>
      </c>
      <c r="G1920" s="1159"/>
      <c r="H1920" s="1173">
        <f t="shared" si="260"/>
        <v>0</v>
      </c>
      <c r="I1920" s="1155">
        <f t="shared" si="262"/>
        <v>33</v>
      </c>
      <c r="J1920" s="695">
        <f t="shared" si="257"/>
        <v>1</v>
      </c>
      <c r="K1920" s="855">
        <f t="shared" si="261"/>
        <v>3.0303030303030304E-2</v>
      </c>
    </row>
    <row r="1921" spans="1:11" ht="24.95" customHeight="1">
      <c r="A1921" s="1156" t="s">
        <v>4348</v>
      </c>
      <c r="B1921" s="1175" t="s">
        <v>4349</v>
      </c>
      <c r="C1921" s="1159">
        <v>80</v>
      </c>
      <c r="D1921" s="1159">
        <v>43</v>
      </c>
      <c r="E1921" s="1173">
        <f t="shared" si="259"/>
        <v>0.53749999999999998</v>
      </c>
      <c r="F1921" s="1159">
        <v>5</v>
      </c>
      <c r="G1921" s="1159"/>
      <c r="H1921" s="1173">
        <f t="shared" si="260"/>
        <v>0</v>
      </c>
      <c r="I1921" s="1155">
        <f t="shared" si="262"/>
        <v>85</v>
      </c>
      <c r="J1921" s="695">
        <f t="shared" si="257"/>
        <v>43</v>
      </c>
      <c r="K1921" s="855">
        <f t="shared" si="261"/>
        <v>0.50588235294117645</v>
      </c>
    </row>
    <row r="1922" spans="1:11" ht="24.95" customHeight="1">
      <c r="A1922" s="1156" t="s">
        <v>4350</v>
      </c>
      <c r="B1922" s="1175" t="s">
        <v>4351</v>
      </c>
      <c r="C1922" s="1158">
        <v>1050</v>
      </c>
      <c r="D1922" s="1159">
        <v>145</v>
      </c>
      <c r="E1922" s="1173">
        <f t="shared" si="259"/>
        <v>0.1380952380952381</v>
      </c>
      <c r="F1922" s="1159">
        <v>15</v>
      </c>
      <c r="G1922" s="1159"/>
      <c r="H1922" s="1173">
        <f t="shared" si="260"/>
        <v>0</v>
      </c>
      <c r="I1922" s="1155">
        <f t="shared" si="262"/>
        <v>1065</v>
      </c>
      <c r="J1922" s="695">
        <f t="shared" si="257"/>
        <v>145</v>
      </c>
      <c r="K1922" s="855">
        <f t="shared" si="261"/>
        <v>0.13615023474178403</v>
      </c>
    </row>
    <row r="1923" spans="1:11" ht="24.95" customHeight="1">
      <c r="A1923" s="1156" t="s">
        <v>4352</v>
      </c>
      <c r="B1923" s="1175" t="s">
        <v>4353</v>
      </c>
      <c r="C1923" s="1159">
        <v>5</v>
      </c>
      <c r="D1923" s="1159"/>
      <c r="E1923" s="1173">
        <f t="shared" si="259"/>
        <v>0</v>
      </c>
      <c r="F1923" s="1159">
        <v>10</v>
      </c>
      <c r="G1923" s="1159"/>
      <c r="H1923" s="1173">
        <f t="shared" si="260"/>
        <v>0</v>
      </c>
      <c r="I1923" s="1155">
        <f t="shared" si="262"/>
        <v>15</v>
      </c>
      <c r="J1923" s="695">
        <f t="shared" si="257"/>
        <v>0</v>
      </c>
      <c r="K1923" s="855">
        <f t="shared" si="261"/>
        <v>0</v>
      </c>
    </row>
    <row r="1924" spans="1:11" ht="24.95" customHeight="1">
      <c r="A1924" s="1156" t="s">
        <v>4354</v>
      </c>
      <c r="B1924" s="1175" t="s">
        <v>4355</v>
      </c>
      <c r="C1924" s="1159"/>
      <c r="D1924" s="1159"/>
      <c r="E1924" s="1173" t="e">
        <f t="shared" si="259"/>
        <v>#DIV/0!</v>
      </c>
      <c r="F1924" s="1159">
        <v>2</v>
      </c>
      <c r="G1924" s="1159"/>
      <c r="H1924" s="1173">
        <f t="shared" si="260"/>
        <v>0</v>
      </c>
      <c r="I1924" s="1155">
        <f t="shared" si="262"/>
        <v>2</v>
      </c>
      <c r="J1924" s="695">
        <f t="shared" si="257"/>
        <v>0</v>
      </c>
      <c r="K1924" s="855">
        <f t="shared" si="261"/>
        <v>0</v>
      </c>
    </row>
    <row r="1925" spans="1:11" ht="24.95" customHeight="1">
      <c r="A1925" s="1156" t="s">
        <v>4356</v>
      </c>
      <c r="B1925" s="1174" t="s">
        <v>4357</v>
      </c>
      <c r="C1925" s="1159"/>
      <c r="D1925" s="1159"/>
      <c r="E1925" s="1173" t="e">
        <f t="shared" si="259"/>
        <v>#DIV/0!</v>
      </c>
      <c r="F1925" s="1159"/>
      <c r="G1925" s="1159"/>
      <c r="H1925" s="1173" t="e">
        <f t="shared" si="260"/>
        <v>#DIV/0!</v>
      </c>
      <c r="I1925" s="1155">
        <f t="shared" si="262"/>
        <v>0</v>
      </c>
      <c r="J1925" s="695">
        <f t="shared" si="257"/>
        <v>0</v>
      </c>
      <c r="K1925" s="855" t="e">
        <f t="shared" si="261"/>
        <v>#DIV/0!</v>
      </c>
    </row>
    <row r="1926" spans="1:11" ht="24.95" customHeight="1">
      <c r="A1926" s="1194" t="s">
        <v>4358</v>
      </c>
      <c r="B1926" s="1195" t="s">
        <v>4359</v>
      </c>
      <c r="C1926" s="1158">
        <v>10</v>
      </c>
      <c r="D1926" s="1159"/>
      <c r="E1926" s="1173">
        <f t="shared" si="259"/>
        <v>0</v>
      </c>
      <c r="F1926" s="1159">
        <v>10</v>
      </c>
      <c r="G1926" s="1159"/>
      <c r="H1926" s="1173">
        <f t="shared" si="260"/>
        <v>0</v>
      </c>
      <c r="I1926" s="1155">
        <f t="shared" si="262"/>
        <v>20</v>
      </c>
      <c r="J1926" s="695">
        <f t="shared" si="257"/>
        <v>0</v>
      </c>
      <c r="K1926" s="855">
        <f t="shared" si="261"/>
        <v>0</v>
      </c>
    </row>
    <row r="1927" spans="1:11" ht="24.95" customHeight="1">
      <c r="A1927" s="1194" t="s">
        <v>4360</v>
      </c>
      <c r="B1927" s="1196" t="s">
        <v>4361</v>
      </c>
      <c r="C1927" s="1158">
        <v>120</v>
      </c>
      <c r="D1927" s="1159"/>
      <c r="E1927" s="1173">
        <f t="shared" si="259"/>
        <v>0</v>
      </c>
      <c r="F1927" s="1159">
        <v>5</v>
      </c>
      <c r="G1927" s="1159"/>
      <c r="H1927" s="1173">
        <f t="shared" si="260"/>
        <v>0</v>
      </c>
      <c r="I1927" s="1155">
        <f t="shared" si="262"/>
        <v>125</v>
      </c>
      <c r="J1927" s="695">
        <f t="shared" si="257"/>
        <v>0</v>
      </c>
      <c r="K1927" s="855">
        <f t="shared" si="261"/>
        <v>0</v>
      </c>
    </row>
    <row r="1928" spans="1:11" ht="24.95" customHeight="1">
      <c r="A1928" s="1156" t="s">
        <v>4362</v>
      </c>
      <c r="B1928" s="1175" t="s">
        <v>4363</v>
      </c>
      <c r="C1928" s="1158">
        <v>1400</v>
      </c>
      <c r="D1928" s="1159">
        <v>789</v>
      </c>
      <c r="E1928" s="1173">
        <f t="shared" si="259"/>
        <v>0.56357142857142861</v>
      </c>
      <c r="F1928" s="1159">
        <v>1</v>
      </c>
      <c r="G1928" s="1159"/>
      <c r="H1928" s="1173">
        <f t="shared" si="260"/>
        <v>0</v>
      </c>
      <c r="I1928" s="1155">
        <f t="shared" si="262"/>
        <v>1401</v>
      </c>
      <c r="J1928" s="695">
        <f t="shared" si="257"/>
        <v>789</v>
      </c>
      <c r="K1928" s="855">
        <f t="shared" si="261"/>
        <v>0.56316916488222701</v>
      </c>
    </row>
    <row r="1929" spans="1:11" ht="24.95" customHeight="1">
      <c r="A1929" s="1184" t="s">
        <v>4364</v>
      </c>
      <c r="B1929" s="1189" t="s">
        <v>4365</v>
      </c>
      <c r="C1929" s="1159">
        <v>3</v>
      </c>
      <c r="D1929" s="1159"/>
      <c r="E1929" s="1173">
        <f t="shared" si="259"/>
        <v>0</v>
      </c>
      <c r="F1929" s="1159">
        <v>1</v>
      </c>
      <c r="G1929" s="1159"/>
      <c r="H1929" s="1173">
        <f t="shared" si="260"/>
        <v>0</v>
      </c>
      <c r="I1929" s="1155">
        <f t="shared" si="262"/>
        <v>4</v>
      </c>
      <c r="J1929" s="695">
        <f t="shared" si="257"/>
        <v>0</v>
      </c>
      <c r="K1929" s="855">
        <f t="shared" si="261"/>
        <v>0</v>
      </c>
    </row>
    <row r="1930" spans="1:11" ht="24.95" customHeight="1">
      <c r="A1930" s="1156" t="s">
        <v>4366</v>
      </c>
      <c r="B1930" s="1175" t="s">
        <v>4367</v>
      </c>
      <c r="C1930" s="1159">
        <v>35</v>
      </c>
      <c r="D1930" s="1159">
        <v>21</v>
      </c>
      <c r="E1930" s="1173">
        <f t="shared" si="259"/>
        <v>0.6</v>
      </c>
      <c r="F1930" s="1159"/>
      <c r="G1930" s="1159"/>
      <c r="H1930" s="1173" t="e">
        <f t="shared" si="260"/>
        <v>#DIV/0!</v>
      </c>
      <c r="I1930" s="1155">
        <f t="shared" si="262"/>
        <v>35</v>
      </c>
      <c r="J1930" s="695">
        <f t="shared" si="257"/>
        <v>21</v>
      </c>
      <c r="K1930" s="855">
        <f t="shared" si="261"/>
        <v>0.6</v>
      </c>
    </row>
    <row r="1931" spans="1:11" ht="24.95" customHeight="1">
      <c r="A1931" s="1156" t="s">
        <v>4368</v>
      </c>
      <c r="B1931" s="1175" t="s">
        <v>4369</v>
      </c>
      <c r="C1931" s="1159">
        <v>1</v>
      </c>
      <c r="D1931" s="1159"/>
      <c r="E1931" s="1173">
        <f t="shared" si="259"/>
        <v>0</v>
      </c>
      <c r="F1931" s="1159"/>
      <c r="G1931" s="1159"/>
      <c r="H1931" s="1173" t="e">
        <f t="shared" si="260"/>
        <v>#DIV/0!</v>
      </c>
      <c r="I1931" s="1155">
        <f t="shared" si="262"/>
        <v>1</v>
      </c>
      <c r="J1931" s="695">
        <f t="shared" si="257"/>
        <v>0</v>
      </c>
      <c r="K1931" s="855">
        <f t="shared" si="261"/>
        <v>0</v>
      </c>
    </row>
    <row r="1932" spans="1:11" ht="24.95" customHeight="1">
      <c r="A1932" s="1156" t="s">
        <v>4370</v>
      </c>
      <c r="B1932" s="1175" t="s">
        <v>4371</v>
      </c>
      <c r="C1932" s="1159">
        <v>60</v>
      </c>
      <c r="D1932" s="1159">
        <v>33</v>
      </c>
      <c r="E1932" s="1173">
        <f t="shared" si="259"/>
        <v>0.55000000000000004</v>
      </c>
      <c r="F1932" s="1159"/>
      <c r="G1932" s="1159"/>
      <c r="H1932" s="1173" t="e">
        <f t="shared" si="260"/>
        <v>#DIV/0!</v>
      </c>
      <c r="I1932" s="1155">
        <f t="shared" si="262"/>
        <v>60</v>
      </c>
      <c r="J1932" s="695">
        <f t="shared" si="262"/>
        <v>33</v>
      </c>
      <c r="K1932" s="855">
        <f t="shared" si="261"/>
        <v>0.55000000000000004</v>
      </c>
    </row>
    <row r="1933" spans="1:11" ht="24.95" customHeight="1">
      <c r="A1933" s="1156" t="s">
        <v>4372</v>
      </c>
      <c r="B1933" s="1175" t="s">
        <v>4373</v>
      </c>
      <c r="C1933" s="1159">
        <v>5</v>
      </c>
      <c r="D1933" s="1159">
        <v>1</v>
      </c>
      <c r="E1933" s="1173">
        <f t="shared" si="259"/>
        <v>0.2</v>
      </c>
      <c r="F1933" s="1159"/>
      <c r="G1933" s="1159"/>
      <c r="H1933" s="1173" t="e">
        <f t="shared" si="260"/>
        <v>#DIV/0!</v>
      </c>
      <c r="I1933" s="1155">
        <f t="shared" si="262"/>
        <v>5</v>
      </c>
      <c r="J1933" s="695">
        <f t="shared" si="262"/>
        <v>1</v>
      </c>
      <c r="K1933" s="855">
        <f t="shared" si="261"/>
        <v>0.2</v>
      </c>
    </row>
    <row r="1934" spans="1:11" ht="24.95" customHeight="1">
      <c r="A1934" s="1184" t="s">
        <v>4374</v>
      </c>
      <c r="B1934" s="1190" t="s">
        <v>4375</v>
      </c>
      <c r="C1934" s="1158">
        <v>600</v>
      </c>
      <c r="D1934" s="1159">
        <v>265</v>
      </c>
      <c r="E1934" s="1173">
        <f t="shared" si="259"/>
        <v>0.44166666666666665</v>
      </c>
      <c r="F1934" s="1159"/>
      <c r="G1934" s="1159"/>
      <c r="H1934" s="1173" t="e">
        <f t="shared" si="260"/>
        <v>#DIV/0!</v>
      </c>
      <c r="I1934" s="1155">
        <f t="shared" si="262"/>
        <v>600</v>
      </c>
      <c r="J1934" s="695">
        <f t="shared" si="262"/>
        <v>265</v>
      </c>
      <c r="K1934" s="855">
        <f t="shared" si="261"/>
        <v>0.44166666666666665</v>
      </c>
    </row>
    <row r="1935" spans="1:11" ht="24.95" customHeight="1">
      <c r="A1935" s="1184" t="s">
        <v>4376</v>
      </c>
      <c r="B1935" s="1190" t="s">
        <v>4377</v>
      </c>
      <c r="C1935" s="1158">
        <v>600</v>
      </c>
      <c r="D1935" s="1159">
        <v>262</v>
      </c>
      <c r="E1935" s="1173">
        <f t="shared" si="259"/>
        <v>0.43666666666666665</v>
      </c>
      <c r="F1935" s="1159"/>
      <c r="G1935" s="1159"/>
      <c r="H1935" s="1173" t="e">
        <f t="shared" si="260"/>
        <v>#DIV/0!</v>
      </c>
      <c r="I1935" s="1155">
        <f t="shared" si="262"/>
        <v>600</v>
      </c>
      <c r="J1935" s="695">
        <f t="shared" si="262"/>
        <v>262</v>
      </c>
      <c r="K1935" s="855">
        <f t="shared" si="261"/>
        <v>0.43666666666666665</v>
      </c>
    </row>
    <row r="1936" spans="1:11" ht="24.95" customHeight="1">
      <c r="A1936" s="1184" t="s">
        <v>4378</v>
      </c>
      <c r="B1936" s="1190" t="s">
        <v>4379</v>
      </c>
      <c r="C1936" s="1159">
        <v>2</v>
      </c>
      <c r="D1936" s="1159"/>
      <c r="E1936" s="1173">
        <f t="shared" si="259"/>
        <v>0</v>
      </c>
      <c r="F1936" s="1159"/>
      <c r="G1936" s="1159"/>
      <c r="H1936" s="1173" t="e">
        <f t="shared" si="260"/>
        <v>#DIV/0!</v>
      </c>
      <c r="I1936" s="1155">
        <f t="shared" si="262"/>
        <v>2</v>
      </c>
      <c r="J1936" s="695">
        <f t="shared" si="262"/>
        <v>0</v>
      </c>
      <c r="K1936" s="855">
        <f t="shared" si="261"/>
        <v>0</v>
      </c>
    </row>
    <row r="1937" spans="1:11" ht="24.95" customHeight="1">
      <c r="A1937" s="1184" t="s">
        <v>4380</v>
      </c>
      <c r="B1937" s="1189" t="s">
        <v>4381</v>
      </c>
      <c r="C1937" s="1159">
        <v>5</v>
      </c>
      <c r="D1937" s="1159"/>
      <c r="E1937" s="1173">
        <f t="shared" si="259"/>
        <v>0</v>
      </c>
      <c r="F1937" s="1159"/>
      <c r="G1937" s="1159"/>
      <c r="H1937" s="1173" t="e">
        <f t="shared" si="260"/>
        <v>#DIV/0!</v>
      </c>
      <c r="I1937" s="1155">
        <f t="shared" si="262"/>
        <v>5</v>
      </c>
      <c r="J1937" s="695">
        <f t="shared" si="262"/>
        <v>0</v>
      </c>
      <c r="K1937" s="855">
        <f t="shared" si="261"/>
        <v>0</v>
      </c>
    </row>
    <row r="1938" spans="1:11" ht="24.95" customHeight="1">
      <c r="A1938" s="1184" t="s">
        <v>4382</v>
      </c>
      <c r="B1938" s="1190" t="s">
        <v>4383</v>
      </c>
      <c r="C1938" s="1159">
        <v>10</v>
      </c>
      <c r="D1938" s="1159"/>
      <c r="E1938" s="1173">
        <f t="shared" si="259"/>
        <v>0</v>
      </c>
      <c r="F1938" s="1159"/>
      <c r="G1938" s="1159"/>
      <c r="H1938" s="1173" t="e">
        <f t="shared" si="260"/>
        <v>#DIV/0!</v>
      </c>
      <c r="I1938" s="1155">
        <f t="shared" si="262"/>
        <v>10</v>
      </c>
      <c r="J1938" s="695">
        <f t="shared" si="262"/>
        <v>0</v>
      </c>
      <c r="K1938" s="855">
        <f t="shared" si="261"/>
        <v>0</v>
      </c>
    </row>
    <row r="1939" spans="1:11" ht="24.95" customHeight="1">
      <c r="A1939" s="1184" t="s">
        <v>4384</v>
      </c>
      <c r="B1939" s="1190" t="s">
        <v>4385</v>
      </c>
      <c r="C1939" s="1159">
        <v>60</v>
      </c>
      <c r="D1939" s="1159">
        <v>53</v>
      </c>
      <c r="E1939" s="1173">
        <f t="shared" si="259"/>
        <v>0.8833333333333333</v>
      </c>
      <c r="F1939" s="1159"/>
      <c r="G1939" s="1159"/>
      <c r="H1939" s="1173" t="e">
        <f t="shared" si="260"/>
        <v>#DIV/0!</v>
      </c>
      <c r="I1939" s="1155">
        <f t="shared" si="262"/>
        <v>60</v>
      </c>
      <c r="J1939" s="695">
        <f t="shared" si="262"/>
        <v>53</v>
      </c>
      <c r="K1939" s="855">
        <f t="shared" si="261"/>
        <v>0.8833333333333333</v>
      </c>
    </row>
    <row r="1940" spans="1:11" ht="24.95" customHeight="1">
      <c r="A1940" s="1184" t="s">
        <v>4386</v>
      </c>
      <c r="B1940" s="1189" t="s">
        <v>4387</v>
      </c>
      <c r="C1940" s="1159">
        <v>10</v>
      </c>
      <c r="D1940" s="1159">
        <v>7</v>
      </c>
      <c r="E1940" s="1173">
        <f t="shared" si="259"/>
        <v>0.7</v>
      </c>
      <c r="F1940" s="1159"/>
      <c r="G1940" s="1159"/>
      <c r="H1940" s="1173" t="e">
        <f t="shared" si="260"/>
        <v>#DIV/0!</v>
      </c>
      <c r="I1940" s="1155">
        <f t="shared" si="262"/>
        <v>10</v>
      </c>
      <c r="J1940" s="695">
        <f t="shared" si="262"/>
        <v>7</v>
      </c>
      <c r="K1940" s="855">
        <f t="shared" si="261"/>
        <v>0.7</v>
      </c>
    </row>
    <row r="1941" spans="1:11" ht="24.95" customHeight="1">
      <c r="A1941" s="1184" t="s">
        <v>4388</v>
      </c>
      <c r="B1941" s="1174" t="s">
        <v>4389</v>
      </c>
      <c r="C1941" s="1159"/>
      <c r="D1941" s="1159"/>
      <c r="E1941" s="1173" t="e">
        <f t="shared" si="259"/>
        <v>#DIV/0!</v>
      </c>
      <c r="F1941" s="1159"/>
      <c r="G1941" s="1159"/>
      <c r="H1941" s="1173" t="e">
        <f t="shared" si="260"/>
        <v>#DIV/0!</v>
      </c>
      <c r="I1941" s="1155">
        <f t="shared" si="262"/>
        <v>0</v>
      </c>
      <c r="J1941" s="695">
        <f t="shared" si="262"/>
        <v>0</v>
      </c>
      <c r="K1941" s="855" t="e">
        <f t="shared" si="261"/>
        <v>#DIV/0!</v>
      </c>
    </row>
    <row r="1942" spans="1:11" ht="24.95" customHeight="1">
      <c r="A1942" s="1156" t="s">
        <v>4390</v>
      </c>
      <c r="B1942" s="1175" t="s">
        <v>4391</v>
      </c>
      <c r="C1942" s="1159">
        <v>1500</v>
      </c>
      <c r="D1942" s="1159">
        <v>807</v>
      </c>
      <c r="E1942" s="1173">
        <f t="shared" si="259"/>
        <v>0.53800000000000003</v>
      </c>
      <c r="F1942" s="1159"/>
      <c r="G1942" s="1159"/>
      <c r="H1942" s="1173" t="e">
        <f t="shared" si="260"/>
        <v>#DIV/0!</v>
      </c>
      <c r="I1942" s="1155">
        <f t="shared" si="262"/>
        <v>1500</v>
      </c>
      <c r="J1942" s="695">
        <f t="shared" si="262"/>
        <v>807</v>
      </c>
      <c r="K1942" s="855">
        <f t="shared" si="261"/>
        <v>0.53800000000000003</v>
      </c>
    </row>
    <row r="1943" spans="1:11" ht="24.95" customHeight="1">
      <c r="A1943" s="1156" t="s">
        <v>2873</v>
      </c>
      <c r="B1943" s="1175" t="s">
        <v>4392</v>
      </c>
      <c r="C1943" s="1159"/>
      <c r="D1943" s="1159"/>
      <c r="E1943" s="1173" t="e">
        <f t="shared" si="259"/>
        <v>#DIV/0!</v>
      </c>
      <c r="F1943" s="1159">
        <v>2</v>
      </c>
      <c r="G1943" s="1159"/>
      <c r="H1943" s="1173">
        <f t="shared" si="260"/>
        <v>0</v>
      </c>
      <c r="I1943" s="1155">
        <f t="shared" si="262"/>
        <v>2</v>
      </c>
      <c r="J1943" s="695">
        <f t="shared" si="262"/>
        <v>0</v>
      </c>
      <c r="K1943" s="855">
        <f t="shared" si="261"/>
        <v>0</v>
      </c>
    </row>
    <row r="1944" spans="1:11" ht="24.95" customHeight="1">
      <c r="A1944" s="1184" t="s">
        <v>2439</v>
      </c>
      <c r="B1944" s="1189" t="s">
        <v>2440</v>
      </c>
      <c r="C1944" s="1158">
        <v>3</v>
      </c>
      <c r="D1944" s="1159">
        <v>1</v>
      </c>
      <c r="E1944" s="1173">
        <f t="shared" si="259"/>
        <v>0.33333333333333331</v>
      </c>
      <c r="F1944" s="1159">
        <v>555</v>
      </c>
      <c r="G1944" s="1159">
        <v>266</v>
      </c>
      <c r="H1944" s="1173">
        <f t="shared" si="260"/>
        <v>0.47927927927927927</v>
      </c>
      <c r="I1944" s="1155">
        <f t="shared" si="262"/>
        <v>558</v>
      </c>
      <c r="J1944" s="695">
        <f t="shared" si="262"/>
        <v>267</v>
      </c>
      <c r="K1944" s="855">
        <f t="shared" si="261"/>
        <v>0.478494623655914</v>
      </c>
    </row>
    <row r="1945" spans="1:11" ht="24.95" customHeight="1">
      <c r="A1945" s="1179" t="s">
        <v>4393</v>
      </c>
      <c r="B1945" s="1197" t="s">
        <v>4394</v>
      </c>
      <c r="C1945" s="1159"/>
      <c r="D1945" s="1159"/>
      <c r="E1945" s="1173" t="e">
        <f t="shared" si="259"/>
        <v>#DIV/0!</v>
      </c>
      <c r="F1945" s="1159"/>
      <c r="G1945" s="1159"/>
      <c r="H1945" s="1173" t="e">
        <f t="shared" si="260"/>
        <v>#DIV/0!</v>
      </c>
      <c r="I1945" s="1155">
        <f t="shared" si="262"/>
        <v>0</v>
      </c>
      <c r="J1945" s="695">
        <f t="shared" si="262"/>
        <v>0</v>
      </c>
      <c r="K1945" s="855" t="e">
        <f t="shared" si="261"/>
        <v>#DIV/0!</v>
      </c>
    </row>
    <row r="1946" spans="1:11" ht="24.95" customHeight="1">
      <c r="A1946" s="1179" t="s">
        <v>2894</v>
      </c>
      <c r="B1946" s="1197" t="s">
        <v>2895</v>
      </c>
      <c r="C1946" s="1159"/>
      <c r="D1946" s="1159"/>
      <c r="E1946" s="1173" t="e">
        <f t="shared" si="259"/>
        <v>#DIV/0!</v>
      </c>
      <c r="F1946" s="1159"/>
      <c r="G1946" s="1159"/>
      <c r="H1946" s="1173" t="e">
        <f t="shared" si="260"/>
        <v>#DIV/0!</v>
      </c>
      <c r="I1946" s="1155">
        <f t="shared" si="262"/>
        <v>0</v>
      </c>
      <c r="J1946" s="695">
        <f t="shared" si="262"/>
        <v>0</v>
      </c>
      <c r="K1946" s="855" t="e">
        <f t="shared" si="261"/>
        <v>#DIV/0!</v>
      </c>
    </row>
    <row r="1947" spans="1:11" ht="24.95" customHeight="1">
      <c r="A1947" s="1184" t="s">
        <v>4395</v>
      </c>
      <c r="B1947" s="1185" t="s">
        <v>4396</v>
      </c>
      <c r="C1947" s="1158"/>
      <c r="D1947" s="1159"/>
      <c r="E1947" s="1173" t="e">
        <f t="shared" si="259"/>
        <v>#DIV/0!</v>
      </c>
      <c r="F1947" s="1164"/>
      <c r="G1947" s="1164"/>
      <c r="H1947" s="1173" t="e">
        <f t="shared" si="260"/>
        <v>#DIV/0!</v>
      </c>
      <c r="I1947" s="1155">
        <f t="shared" si="262"/>
        <v>0</v>
      </c>
      <c r="J1947" s="695">
        <f t="shared" si="262"/>
        <v>0</v>
      </c>
      <c r="K1947" s="855" t="e">
        <f t="shared" si="261"/>
        <v>#DIV/0!</v>
      </c>
    </row>
    <row r="1948" spans="1:11" ht="24.95" customHeight="1">
      <c r="A1948" s="1184" t="s">
        <v>4397</v>
      </c>
      <c r="B1948" s="1185" t="s">
        <v>4398</v>
      </c>
      <c r="C1948" s="1159">
        <v>1</v>
      </c>
      <c r="D1948" s="1159">
        <v>1</v>
      </c>
      <c r="E1948" s="1173">
        <f t="shared" si="259"/>
        <v>1</v>
      </c>
      <c r="F1948" s="1164">
        <v>1</v>
      </c>
      <c r="G1948" s="1164"/>
      <c r="H1948" s="1173">
        <f t="shared" si="260"/>
        <v>0</v>
      </c>
      <c r="I1948" s="1155">
        <f t="shared" si="262"/>
        <v>2</v>
      </c>
      <c r="J1948" s="695">
        <f t="shared" si="262"/>
        <v>1</v>
      </c>
      <c r="K1948" s="855">
        <f t="shared" si="261"/>
        <v>0.5</v>
      </c>
    </row>
    <row r="1949" spans="1:11" ht="24.95" customHeight="1">
      <c r="A1949" s="1165" t="s">
        <v>4399</v>
      </c>
      <c r="B1949" s="1183" t="s">
        <v>4400</v>
      </c>
      <c r="C1949" s="1159">
        <v>5</v>
      </c>
      <c r="D1949" s="1159"/>
      <c r="E1949" s="1173">
        <f t="shared" si="259"/>
        <v>0</v>
      </c>
      <c r="F1949" s="1164"/>
      <c r="G1949" s="1164"/>
      <c r="H1949" s="1173" t="e">
        <f t="shared" si="260"/>
        <v>#DIV/0!</v>
      </c>
      <c r="I1949" s="1155">
        <f t="shared" si="262"/>
        <v>5</v>
      </c>
      <c r="J1949" s="695">
        <f t="shared" si="262"/>
        <v>0</v>
      </c>
      <c r="K1949" s="855">
        <f t="shared" si="261"/>
        <v>0</v>
      </c>
    </row>
    <row r="1950" spans="1:11" ht="24.95" customHeight="1">
      <c r="A1950" s="1165" t="s">
        <v>4401</v>
      </c>
      <c r="B1950" s="1183" t="s">
        <v>4402</v>
      </c>
      <c r="C1950" s="1159">
        <v>2</v>
      </c>
      <c r="D1950" s="1159"/>
      <c r="E1950" s="1173">
        <f t="shared" si="259"/>
        <v>0</v>
      </c>
      <c r="F1950" s="1164">
        <v>6</v>
      </c>
      <c r="G1950" s="1164"/>
      <c r="H1950" s="1173">
        <f t="shared" si="260"/>
        <v>0</v>
      </c>
      <c r="I1950" s="1155">
        <f t="shared" si="262"/>
        <v>8</v>
      </c>
      <c r="J1950" s="695">
        <f t="shared" si="262"/>
        <v>0</v>
      </c>
      <c r="K1950" s="855">
        <f t="shared" si="261"/>
        <v>0</v>
      </c>
    </row>
    <row r="1951" spans="1:11" ht="24.95" customHeight="1">
      <c r="A1951" s="1165" t="s">
        <v>4403</v>
      </c>
      <c r="B1951" s="1167" t="s">
        <v>4404</v>
      </c>
      <c r="C1951" s="1158">
        <v>600</v>
      </c>
      <c r="D1951" s="1159">
        <v>10</v>
      </c>
      <c r="E1951" s="1173">
        <f t="shared" si="259"/>
        <v>1.6666666666666666E-2</v>
      </c>
      <c r="F1951" s="1159">
        <v>15</v>
      </c>
      <c r="G1951" s="1159"/>
      <c r="H1951" s="1173">
        <f t="shared" si="260"/>
        <v>0</v>
      </c>
      <c r="I1951" s="1155">
        <f t="shared" ref="I1951:J1982" si="263">+C1951+F1951</f>
        <v>615</v>
      </c>
      <c r="J1951" s="695">
        <f t="shared" si="263"/>
        <v>10</v>
      </c>
      <c r="K1951" s="855">
        <f t="shared" si="261"/>
        <v>1.6260162601626018E-2</v>
      </c>
    </row>
    <row r="1952" spans="1:11" ht="24.95" customHeight="1">
      <c r="A1952" s="1156" t="s">
        <v>4405</v>
      </c>
      <c r="B1952" s="1196" t="s">
        <v>4406</v>
      </c>
      <c r="C1952" s="1158">
        <v>24000</v>
      </c>
      <c r="D1952" s="1159">
        <v>14816</v>
      </c>
      <c r="E1952" s="1173">
        <f t="shared" si="259"/>
        <v>0.61733333333333329</v>
      </c>
      <c r="F1952" s="1159">
        <v>4025</v>
      </c>
      <c r="G1952" s="1159">
        <v>2437</v>
      </c>
      <c r="H1952" s="1173">
        <f t="shared" si="260"/>
        <v>0.60546583850931679</v>
      </c>
      <c r="I1952" s="1155">
        <f t="shared" si="263"/>
        <v>28025</v>
      </c>
      <c r="J1952" s="695">
        <f t="shared" si="263"/>
        <v>17253</v>
      </c>
      <c r="K1952" s="855">
        <f t="shared" si="261"/>
        <v>0.61562890276538806</v>
      </c>
    </row>
    <row r="1953" spans="1:11" ht="24.95" customHeight="1">
      <c r="A1953" s="1156" t="s">
        <v>4407</v>
      </c>
      <c r="B1953" s="1166" t="s">
        <v>4408</v>
      </c>
      <c r="C1953" s="1158">
        <v>810</v>
      </c>
      <c r="D1953" s="1159">
        <v>417</v>
      </c>
      <c r="E1953" s="1173">
        <f t="shared" si="259"/>
        <v>0.51481481481481484</v>
      </c>
      <c r="F1953" s="1159">
        <v>35</v>
      </c>
      <c r="G1953" s="1159"/>
      <c r="H1953" s="1173">
        <f t="shared" si="260"/>
        <v>0</v>
      </c>
      <c r="I1953" s="1155">
        <f t="shared" si="263"/>
        <v>845</v>
      </c>
      <c r="J1953" s="695">
        <f t="shared" si="263"/>
        <v>417</v>
      </c>
      <c r="K1953" s="855">
        <f t="shared" si="261"/>
        <v>0.49349112426035502</v>
      </c>
    </row>
    <row r="1954" spans="1:11" ht="24.95" customHeight="1">
      <c r="A1954" s="1156" t="s">
        <v>2898</v>
      </c>
      <c r="B1954" s="1175" t="s">
        <v>2899</v>
      </c>
      <c r="C1954" s="1158">
        <v>3000</v>
      </c>
      <c r="D1954" s="1159">
        <v>1487</v>
      </c>
      <c r="E1954" s="1173">
        <f t="shared" si="259"/>
        <v>0.49566666666666664</v>
      </c>
      <c r="F1954" s="1159">
        <v>1700</v>
      </c>
      <c r="G1954" s="1159">
        <f>975+8</f>
        <v>983</v>
      </c>
      <c r="H1954" s="1173">
        <f t="shared" si="260"/>
        <v>0.57823529411764707</v>
      </c>
      <c r="I1954" s="1155">
        <f t="shared" si="263"/>
        <v>4700</v>
      </c>
      <c r="J1954" s="695">
        <f t="shared" si="263"/>
        <v>2470</v>
      </c>
      <c r="K1954" s="855">
        <f t="shared" si="261"/>
        <v>0.52553191489361706</v>
      </c>
    </row>
    <row r="1955" spans="1:11" ht="24.95" customHeight="1">
      <c r="A1955" s="1184" t="s">
        <v>2933</v>
      </c>
      <c r="B1955" s="1189" t="s">
        <v>2934</v>
      </c>
      <c r="C1955" s="1158">
        <v>5</v>
      </c>
      <c r="D1955" s="1159"/>
      <c r="E1955" s="1173">
        <f t="shared" si="259"/>
        <v>0</v>
      </c>
      <c r="F1955" s="1164">
        <v>10</v>
      </c>
      <c r="G1955" s="1164">
        <v>8</v>
      </c>
      <c r="H1955" s="1173">
        <f t="shared" si="260"/>
        <v>0.8</v>
      </c>
      <c r="I1955" s="1155">
        <f t="shared" si="263"/>
        <v>15</v>
      </c>
      <c r="J1955" s="695">
        <f t="shared" si="263"/>
        <v>8</v>
      </c>
      <c r="K1955" s="855">
        <f t="shared" si="261"/>
        <v>0.53333333333333333</v>
      </c>
    </row>
    <row r="1956" spans="1:11" ht="24.95" customHeight="1">
      <c r="A1956" s="1184" t="s">
        <v>2481</v>
      </c>
      <c r="B1956" s="1189" t="s">
        <v>2935</v>
      </c>
      <c r="C1956" s="1158">
        <v>5</v>
      </c>
      <c r="D1956" s="1159">
        <v>1</v>
      </c>
      <c r="E1956" s="1173">
        <f t="shared" si="259"/>
        <v>0.2</v>
      </c>
      <c r="F1956" s="1164">
        <v>10</v>
      </c>
      <c r="G1956" s="1164">
        <v>7</v>
      </c>
      <c r="H1956" s="1173">
        <f t="shared" si="260"/>
        <v>0.7</v>
      </c>
      <c r="I1956" s="1155">
        <f t="shared" si="263"/>
        <v>15</v>
      </c>
      <c r="J1956" s="695">
        <f t="shared" si="263"/>
        <v>8</v>
      </c>
      <c r="K1956" s="855">
        <f t="shared" si="261"/>
        <v>0.53333333333333333</v>
      </c>
    </row>
    <row r="1957" spans="1:11" ht="24.95" customHeight="1">
      <c r="A1957" s="1184" t="s">
        <v>3041</v>
      </c>
      <c r="B1957" s="1190" t="s">
        <v>3042</v>
      </c>
      <c r="C1957" s="1158">
        <v>65</v>
      </c>
      <c r="D1957" s="1159">
        <v>34</v>
      </c>
      <c r="E1957" s="1173">
        <f t="shared" si="259"/>
        <v>0.52307692307692311</v>
      </c>
      <c r="F1957" s="1164">
        <v>1</v>
      </c>
      <c r="G1957" s="1164"/>
      <c r="H1957" s="1173">
        <f t="shared" si="260"/>
        <v>0</v>
      </c>
      <c r="I1957" s="1155">
        <f t="shared" si="263"/>
        <v>66</v>
      </c>
      <c r="J1957" s="695">
        <f t="shared" si="263"/>
        <v>34</v>
      </c>
      <c r="K1957" s="855">
        <f t="shared" si="261"/>
        <v>0.51515151515151514</v>
      </c>
    </row>
    <row r="1958" spans="1:11" ht="24.95" customHeight="1">
      <c r="A1958" s="1184" t="s">
        <v>4409</v>
      </c>
      <c r="B1958" s="1190" t="s">
        <v>4410</v>
      </c>
      <c r="C1958" s="1158">
        <v>35</v>
      </c>
      <c r="D1958" s="1159">
        <v>10</v>
      </c>
      <c r="E1958" s="1173">
        <f t="shared" si="259"/>
        <v>0.2857142857142857</v>
      </c>
      <c r="F1958" s="1164"/>
      <c r="G1958" s="1164"/>
      <c r="H1958" s="1173" t="e">
        <f t="shared" si="260"/>
        <v>#DIV/0!</v>
      </c>
      <c r="I1958" s="1155">
        <f t="shared" si="263"/>
        <v>35</v>
      </c>
      <c r="J1958" s="695">
        <f t="shared" si="263"/>
        <v>10</v>
      </c>
      <c r="K1958" s="855">
        <f t="shared" si="261"/>
        <v>0.2857142857142857</v>
      </c>
    </row>
    <row r="1959" spans="1:11" ht="24.95" customHeight="1">
      <c r="A1959" s="1184" t="s">
        <v>4411</v>
      </c>
      <c r="B1959" s="1190" t="s">
        <v>4412</v>
      </c>
      <c r="C1959" s="1158">
        <v>65</v>
      </c>
      <c r="D1959" s="1159"/>
      <c r="E1959" s="1173">
        <f t="shared" si="259"/>
        <v>0</v>
      </c>
      <c r="F1959" s="1159">
        <v>10</v>
      </c>
      <c r="G1959" s="1159"/>
      <c r="H1959" s="1173">
        <f t="shared" si="260"/>
        <v>0</v>
      </c>
      <c r="I1959" s="1155">
        <f t="shared" si="263"/>
        <v>75</v>
      </c>
      <c r="J1959" s="695">
        <f t="shared" si="263"/>
        <v>0</v>
      </c>
      <c r="K1959" s="855">
        <f t="shared" si="261"/>
        <v>0</v>
      </c>
    </row>
    <row r="1960" spans="1:11" ht="24.95" customHeight="1">
      <c r="A1960" s="1184" t="s">
        <v>4413</v>
      </c>
      <c r="B1960" s="1190" t="s">
        <v>4414</v>
      </c>
      <c r="C1960" s="1158">
        <v>2</v>
      </c>
      <c r="D1960" s="1159"/>
      <c r="E1960" s="1173">
        <f t="shared" si="259"/>
        <v>0</v>
      </c>
      <c r="F1960" s="1159">
        <v>485</v>
      </c>
      <c r="G1960" s="1159">
        <v>360</v>
      </c>
      <c r="H1960" s="1173">
        <f t="shared" si="260"/>
        <v>0.74226804123711343</v>
      </c>
      <c r="I1960" s="1155">
        <f t="shared" si="263"/>
        <v>487</v>
      </c>
      <c r="J1960" s="695">
        <f t="shared" si="263"/>
        <v>360</v>
      </c>
      <c r="K1960" s="855">
        <f t="shared" si="261"/>
        <v>0.73921971252566732</v>
      </c>
    </row>
    <row r="1961" spans="1:11" ht="24.95" customHeight="1">
      <c r="A1961" s="1184" t="s">
        <v>4415</v>
      </c>
      <c r="B1961" s="1190" t="s">
        <v>4416</v>
      </c>
      <c r="C1961" s="1158"/>
      <c r="D1961" s="1159"/>
      <c r="E1961" s="1173" t="e">
        <f t="shared" si="259"/>
        <v>#DIV/0!</v>
      </c>
      <c r="F1961" s="1159">
        <v>150</v>
      </c>
      <c r="G1961" s="1159">
        <v>90</v>
      </c>
      <c r="H1961" s="1173">
        <f t="shared" si="260"/>
        <v>0.6</v>
      </c>
      <c r="I1961" s="1155">
        <f t="shared" si="263"/>
        <v>150</v>
      </c>
      <c r="J1961" s="695">
        <f t="shared" si="263"/>
        <v>90</v>
      </c>
      <c r="K1961" s="855">
        <f t="shared" si="261"/>
        <v>0.6</v>
      </c>
    </row>
    <row r="1962" spans="1:11" ht="24.95" customHeight="1">
      <c r="A1962" s="1184" t="s">
        <v>2550</v>
      </c>
      <c r="B1962" s="1190" t="s">
        <v>2551</v>
      </c>
      <c r="C1962" s="1158">
        <v>10</v>
      </c>
      <c r="D1962" s="1159">
        <v>38</v>
      </c>
      <c r="E1962" s="1173">
        <f t="shared" si="259"/>
        <v>3.8</v>
      </c>
      <c r="F1962" s="1159">
        <v>10</v>
      </c>
      <c r="G1962" s="1159">
        <v>2</v>
      </c>
      <c r="H1962" s="1173">
        <f t="shared" si="260"/>
        <v>0.2</v>
      </c>
      <c r="I1962" s="1155">
        <f t="shared" si="263"/>
        <v>20</v>
      </c>
      <c r="J1962" s="695">
        <f t="shared" si="263"/>
        <v>40</v>
      </c>
      <c r="K1962" s="855">
        <f t="shared" si="261"/>
        <v>2</v>
      </c>
    </row>
    <row r="1963" spans="1:11" ht="24.95" customHeight="1">
      <c r="A1963" s="1184" t="s">
        <v>2554</v>
      </c>
      <c r="B1963" s="1190" t="s">
        <v>4151</v>
      </c>
      <c r="C1963" s="1158">
        <v>1</v>
      </c>
      <c r="D1963" s="1159">
        <v>1</v>
      </c>
      <c r="E1963" s="1173">
        <f t="shared" si="259"/>
        <v>1</v>
      </c>
      <c r="F1963" s="1159">
        <v>40</v>
      </c>
      <c r="G1963" s="1159">
        <v>17</v>
      </c>
      <c r="H1963" s="1173">
        <f t="shared" si="260"/>
        <v>0.42499999999999999</v>
      </c>
      <c r="I1963" s="1155">
        <f t="shared" si="263"/>
        <v>41</v>
      </c>
      <c r="J1963" s="695">
        <f t="shared" si="263"/>
        <v>18</v>
      </c>
      <c r="K1963" s="855">
        <f t="shared" si="261"/>
        <v>0.43902439024390244</v>
      </c>
    </row>
    <row r="1964" spans="1:11" ht="24.95" customHeight="1">
      <c r="A1964" s="1184" t="s">
        <v>2556</v>
      </c>
      <c r="B1964" s="1190" t="s">
        <v>2557</v>
      </c>
      <c r="C1964" s="1158"/>
      <c r="D1964" s="1159"/>
      <c r="E1964" s="1173" t="e">
        <f t="shared" si="259"/>
        <v>#DIV/0!</v>
      </c>
      <c r="F1964" s="1159">
        <v>1</v>
      </c>
      <c r="G1964" s="1159"/>
      <c r="H1964" s="1173">
        <f t="shared" si="260"/>
        <v>0</v>
      </c>
      <c r="I1964" s="1155">
        <f t="shared" si="263"/>
        <v>1</v>
      </c>
      <c r="J1964" s="695">
        <f t="shared" si="263"/>
        <v>0</v>
      </c>
      <c r="K1964" s="855">
        <f t="shared" si="261"/>
        <v>0</v>
      </c>
    </row>
    <row r="1965" spans="1:11" ht="24.95" customHeight="1">
      <c r="A1965" s="1184" t="s">
        <v>4417</v>
      </c>
      <c r="B1965" s="1190" t="s">
        <v>4418</v>
      </c>
      <c r="C1965" s="1158"/>
      <c r="D1965" s="1159"/>
      <c r="E1965" s="1173" t="e">
        <f t="shared" si="259"/>
        <v>#DIV/0!</v>
      </c>
      <c r="F1965" s="1159">
        <v>10</v>
      </c>
      <c r="G1965" s="1159">
        <v>1</v>
      </c>
      <c r="H1965" s="1173">
        <f t="shared" si="260"/>
        <v>0.1</v>
      </c>
      <c r="I1965" s="1155">
        <f t="shared" si="263"/>
        <v>10</v>
      </c>
      <c r="J1965" s="695">
        <f t="shared" si="263"/>
        <v>1</v>
      </c>
      <c r="K1965" s="855">
        <f t="shared" si="261"/>
        <v>0.1</v>
      </c>
    </row>
    <row r="1966" spans="1:11" ht="24.95" customHeight="1">
      <c r="A1966" s="1165" t="s">
        <v>4419</v>
      </c>
      <c r="B1966" s="1175" t="s">
        <v>4420</v>
      </c>
      <c r="C1966" s="1158">
        <v>2300</v>
      </c>
      <c r="D1966" s="1159">
        <v>1103</v>
      </c>
      <c r="E1966" s="1173">
        <f t="shared" si="259"/>
        <v>0.47956521739130437</v>
      </c>
      <c r="F1966" s="1159"/>
      <c r="G1966" s="1159"/>
      <c r="H1966" s="1173" t="e">
        <f t="shared" si="260"/>
        <v>#DIV/0!</v>
      </c>
      <c r="I1966" s="1155">
        <f t="shared" si="263"/>
        <v>2300</v>
      </c>
      <c r="J1966" s="695">
        <f t="shared" si="263"/>
        <v>1103</v>
      </c>
      <c r="K1966" s="855">
        <f t="shared" si="261"/>
        <v>0.47956521739130437</v>
      </c>
    </row>
    <row r="1967" spans="1:11" ht="24.95" customHeight="1">
      <c r="A1967" s="1156" t="s">
        <v>4421</v>
      </c>
      <c r="B1967" s="1175" t="s">
        <v>4422</v>
      </c>
      <c r="C1967" s="1158">
        <v>2700</v>
      </c>
      <c r="D1967" s="1159">
        <v>1325</v>
      </c>
      <c r="E1967" s="1173">
        <f t="shared" si="259"/>
        <v>0.49074074074074076</v>
      </c>
      <c r="F1967" s="1159"/>
      <c r="G1967" s="1159">
        <v>2</v>
      </c>
      <c r="H1967" s="1173" t="e">
        <f t="shared" si="260"/>
        <v>#DIV/0!</v>
      </c>
      <c r="I1967" s="1155">
        <f t="shared" si="263"/>
        <v>2700</v>
      </c>
      <c r="J1967" s="695">
        <f t="shared" si="263"/>
        <v>1327</v>
      </c>
      <c r="K1967" s="855">
        <f t="shared" si="261"/>
        <v>0.49148148148148146</v>
      </c>
    </row>
    <row r="1968" spans="1:11" ht="24.95" customHeight="1">
      <c r="A1968" s="1156" t="s">
        <v>4423</v>
      </c>
      <c r="B1968" s="1175" t="s">
        <v>4424</v>
      </c>
      <c r="C1968" s="1158">
        <v>1</v>
      </c>
      <c r="D1968" s="1159"/>
      <c r="E1968" s="1173">
        <f t="shared" si="259"/>
        <v>0</v>
      </c>
      <c r="F1968" s="1159"/>
      <c r="G1968" s="1159"/>
      <c r="H1968" s="1173" t="e">
        <f t="shared" si="260"/>
        <v>#DIV/0!</v>
      </c>
      <c r="I1968" s="1155">
        <f t="shared" si="263"/>
        <v>1</v>
      </c>
      <c r="J1968" s="695">
        <f t="shared" si="263"/>
        <v>0</v>
      </c>
      <c r="K1968" s="855">
        <f t="shared" si="261"/>
        <v>0</v>
      </c>
    </row>
    <row r="1969" spans="1:11" ht="24.95" customHeight="1">
      <c r="A1969" s="1156" t="s">
        <v>2955</v>
      </c>
      <c r="B1969" s="1175" t="s">
        <v>2956</v>
      </c>
      <c r="C1969" s="1158"/>
      <c r="D1969" s="1159"/>
      <c r="E1969" s="1173" t="e">
        <f t="shared" si="259"/>
        <v>#DIV/0!</v>
      </c>
      <c r="F1969" s="1159"/>
      <c r="G1969" s="1159"/>
      <c r="H1969" s="1173" t="e">
        <f t="shared" si="260"/>
        <v>#DIV/0!</v>
      </c>
      <c r="I1969" s="1155">
        <f t="shared" si="263"/>
        <v>0</v>
      </c>
      <c r="J1969" s="695">
        <f t="shared" si="263"/>
        <v>0</v>
      </c>
      <c r="K1969" s="855" t="e">
        <f t="shared" si="261"/>
        <v>#DIV/0!</v>
      </c>
    </row>
    <row r="1970" spans="1:11" ht="24.95" customHeight="1">
      <c r="A1970" s="1156" t="s">
        <v>4425</v>
      </c>
      <c r="B1970" s="1175" t="s">
        <v>4426</v>
      </c>
      <c r="C1970" s="1158">
        <v>5</v>
      </c>
      <c r="D1970" s="1159"/>
      <c r="E1970" s="1173">
        <f t="shared" ref="E1970:E1994" si="264">+D1970/C1970</f>
        <v>0</v>
      </c>
      <c r="F1970" s="1159"/>
      <c r="G1970" s="1159"/>
      <c r="H1970" s="1173" t="e">
        <f t="shared" ref="H1970:H1994" si="265">+G1970/F1970</f>
        <v>#DIV/0!</v>
      </c>
      <c r="I1970" s="1155">
        <f t="shared" si="263"/>
        <v>5</v>
      </c>
      <c r="J1970" s="695">
        <f t="shared" si="263"/>
        <v>0</v>
      </c>
      <c r="K1970" s="855">
        <f t="shared" ref="K1970:K1994" si="266">+J1970/I1970</f>
        <v>0</v>
      </c>
    </row>
    <row r="1971" spans="1:11" ht="24.95" customHeight="1">
      <c r="A1971" s="1156" t="s">
        <v>4427</v>
      </c>
      <c r="B1971" s="1175" t="s">
        <v>4428</v>
      </c>
      <c r="C1971" s="1158">
        <v>1500</v>
      </c>
      <c r="D1971" s="1159">
        <v>644</v>
      </c>
      <c r="E1971" s="1173">
        <f t="shared" si="264"/>
        <v>0.42933333333333334</v>
      </c>
      <c r="F1971" s="1159">
        <v>1150</v>
      </c>
      <c r="G1971" s="1159">
        <v>739</v>
      </c>
      <c r="H1971" s="1173">
        <f t="shared" si="265"/>
        <v>0.64260869565217393</v>
      </c>
      <c r="I1971" s="1155">
        <f t="shared" si="263"/>
        <v>2650</v>
      </c>
      <c r="J1971" s="695">
        <f t="shared" si="263"/>
        <v>1383</v>
      </c>
      <c r="K1971" s="855">
        <f t="shared" si="266"/>
        <v>0.52188679245283021</v>
      </c>
    </row>
    <row r="1972" spans="1:11" ht="24.95" customHeight="1">
      <c r="A1972" s="1156" t="s">
        <v>2615</v>
      </c>
      <c r="B1972" s="1175" t="s">
        <v>3200</v>
      </c>
      <c r="C1972" s="1158"/>
      <c r="D1972" s="1159"/>
      <c r="E1972" s="1173" t="e">
        <f t="shared" si="264"/>
        <v>#DIV/0!</v>
      </c>
      <c r="F1972" s="1159">
        <v>600</v>
      </c>
      <c r="G1972" s="1159">
        <v>300</v>
      </c>
      <c r="H1972" s="1173">
        <f t="shared" si="265"/>
        <v>0.5</v>
      </c>
      <c r="I1972" s="1155">
        <f t="shared" si="263"/>
        <v>600</v>
      </c>
      <c r="J1972" s="695">
        <f t="shared" si="263"/>
        <v>300</v>
      </c>
      <c r="K1972" s="855">
        <f t="shared" si="266"/>
        <v>0.5</v>
      </c>
    </row>
    <row r="1973" spans="1:11" ht="24.95" customHeight="1">
      <c r="A1973" s="1184" t="s">
        <v>2327</v>
      </c>
      <c r="B1973" s="1189" t="s">
        <v>2328</v>
      </c>
      <c r="C1973" s="1158">
        <v>2</v>
      </c>
      <c r="D1973" s="1159"/>
      <c r="E1973" s="1173">
        <f t="shared" si="264"/>
        <v>0</v>
      </c>
      <c r="F1973" s="1159">
        <v>415</v>
      </c>
      <c r="G1973" s="1159">
        <v>139</v>
      </c>
      <c r="H1973" s="1173">
        <f t="shared" si="265"/>
        <v>0.33493975903614459</v>
      </c>
      <c r="I1973" s="1155">
        <f t="shared" si="263"/>
        <v>417</v>
      </c>
      <c r="J1973" s="695">
        <f t="shared" si="263"/>
        <v>139</v>
      </c>
      <c r="K1973" s="855">
        <f t="shared" si="266"/>
        <v>0.33333333333333331</v>
      </c>
    </row>
    <row r="1974" spans="1:11" ht="24.95" customHeight="1">
      <c r="A1974" s="1184" t="s">
        <v>2176</v>
      </c>
      <c r="B1974" s="1189" t="s">
        <v>2177</v>
      </c>
      <c r="C1974" s="1158">
        <v>5</v>
      </c>
      <c r="D1974" s="1159"/>
      <c r="E1974" s="1173">
        <f t="shared" si="264"/>
        <v>0</v>
      </c>
      <c r="F1974" s="1159">
        <v>650</v>
      </c>
      <c r="G1974" s="1159">
        <v>223</v>
      </c>
      <c r="H1974" s="1173">
        <f t="shared" si="265"/>
        <v>0.34307692307692306</v>
      </c>
      <c r="I1974" s="1155">
        <f t="shared" si="263"/>
        <v>655</v>
      </c>
      <c r="J1974" s="695">
        <f t="shared" si="263"/>
        <v>223</v>
      </c>
      <c r="K1974" s="855">
        <f t="shared" si="266"/>
        <v>0.34045801526717556</v>
      </c>
    </row>
    <row r="1975" spans="1:11" ht="24.95" customHeight="1">
      <c r="A1975" s="1184" t="s">
        <v>2620</v>
      </c>
      <c r="B1975" s="1189" t="s">
        <v>2621</v>
      </c>
      <c r="C1975" s="1158">
        <v>5</v>
      </c>
      <c r="D1975" s="1159">
        <v>1</v>
      </c>
      <c r="E1975" s="1173">
        <f t="shared" si="264"/>
        <v>0.2</v>
      </c>
      <c r="F1975" s="1159">
        <v>420</v>
      </c>
      <c r="G1975" s="1159">
        <v>196</v>
      </c>
      <c r="H1975" s="1173">
        <f t="shared" si="265"/>
        <v>0.46666666666666667</v>
      </c>
      <c r="I1975" s="1155">
        <f t="shared" si="263"/>
        <v>425</v>
      </c>
      <c r="J1975" s="695">
        <f t="shared" si="263"/>
        <v>197</v>
      </c>
      <c r="K1975" s="855">
        <f t="shared" si="266"/>
        <v>0.46352941176470586</v>
      </c>
    </row>
    <row r="1976" spans="1:11" ht="24.95" customHeight="1">
      <c r="A1976" s="1184" t="s">
        <v>2624</v>
      </c>
      <c r="B1976" s="1189" t="s">
        <v>2330</v>
      </c>
      <c r="C1976" s="1158">
        <v>15</v>
      </c>
      <c r="D1976" s="1159">
        <v>7</v>
      </c>
      <c r="E1976" s="1173">
        <f t="shared" si="264"/>
        <v>0.46666666666666667</v>
      </c>
      <c r="F1976" s="1159">
        <v>210</v>
      </c>
      <c r="G1976" s="1159">
        <v>121</v>
      </c>
      <c r="H1976" s="1173">
        <f t="shared" si="265"/>
        <v>0.57619047619047614</v>
      </c>
      <c r="I1976" s="1155">
        <f t="shared" si="263"/>
        <v>225</v>
      </c>
      <c r="J1976" s="695">
        <f t="shared" si="263"/>
        <v>128</v>
      </c>
      <c r="K1976" s="855">
        <f t="shared" si="266"/>
        <v>0.56888888888888889</v>
      </c>
    </row>
    <row r="1977" spans="1:11" ht="24.95" customHeight="1">
      <c r="A1977" s="1184" t="s">
        <v>2331</v>
      </c>
      <c r="B1977" s="1189" t="s">
        <v>2332</v>
      </c>
      <c r="C1977" s="1158">
        <v>2</v>
      </c>
      <c r="D1977" s="1159"/>
      <c r="E1977" s="1173">
        <f t="shared" si="264"/>
        <v>0</v>
      </c>
      <c r="F1977" s="1159">
        <v>75</v>
      </c>
      <c r="G1977" s="1159">
        <v>21</v>
      </c>
      <c r="H1977" s="1173">
        <f t="shared" si="265"/>
        <v>0.28000000000000003</v>
      </c>
      <c r="I1977" s="1155">
        <f t="shared" si="263"/>
        <v>77</v>
      </c>
      <c r="J1977" s="695">
        <f t="shared" si="263"/>
        <v>21</v>
      </c>
      <c r="K1977" s="855">
        <f t="shared" si="266"/>
        <v>0.27272727272727271</v>
      </c>
    </row>
    <row r="1978" spans="1:11" ht="24.95" customHeight="1">
      <c r="A1978" s="1184" t="s">
        <v>2627</v>
      </c>
      <c r="B1978" s="1189" t="s">
        <v>2628</v>
      </c>
      <c r="C1978" s="1158"/>
      <c r="D1978" s="1159"/>
      <c r="E1978" s="1173" t="e">
        <f t="shared" si="264"/>
        <v>#DIV/0!</v>
      </c>
      <c r="F1978" s="1159">
        <v>1</v>
      </c>
      <c r="G1978" s="1159">
        <v>1</v>
      </c>
      <c r="H1978" s="1173">
        <f t="shared" si="265"/>
        <v>1</v>
      </c>
      <c r="I1978" s="1155">
        <f t="shared" si="263"/>
        <v>1</v>
      </c>
      <c r="J1978" s="695">
        <f t="shared" si="263"/>
        <v>1</v>
      </c>
      <c r="K1978" s="855">
        <f t="shared" si="266"/>
        <v>1</v>
      </c>
    </row>
    <row r="1979" spans="1:11" ht="24.95" customHeight="1">
      <c r="A1979" s="1184" t="s">
        <v>2629</v>
      </c>
      <c r="B1979" s="1189" t="s">
        <v>3211</v>
      </c>
      <c r="C1979" s="1158"/>
      <c r="D1979" s="1159"/>
      <c r="E1979" s="1173" t="e">
        <f t="shared" si="264"/>
        <v>#DIV/0!</v>
      </c>
      <c r="F1979" s="1159">
        <v>5</v>
      </c>
      <c r="G1979" s="1159"/>
      <c r="H1979" s="1173">
        <f t="shared" si="265"/>
        <v>0</v>
      </c>
      <c r="I1979" s="1155">
        <f t="shared" si="263"/>
        <v>5</v>
      </c>
      <c r="J1979" s="695">
        <f t="shared" si="263"/>
        <v>0</v>
      </c>
      <c r="K1979" s="855">
        <f t="shared" si="266"/>
        <v>0</v>
      </c>
    </row>
    <row r="1980" spans="1:11" ht="24.95" customHeight="1">
      <c r="A1980" s="1184" t="s">
        <v>2631</v>
      </c>
      <c r="B1980" s="1189" t="s">
        <v>2632</v>
      </c>
      <c r="C1980" s="1158">
        <v>2</v>
      </c>
      <c r="D1980" s="1159"/>
      <c r="E1980" s="1173">
        <f t="shared" si="264"/>
        <v>0</v>
      </c>
      <c r="F1980" s="1159">
        <v>110</v>
      </c>
      <c r="G1980" s="1159">
        <v>75</v>
      </c>
      <c r="H1980" s="1173">
        <f t="shared" si="265"/>
        <v>0.68181818181818177</v>
      </c>
      <c r="I1980" s="1155">
        <f t="shared" si="263"/>
        <v>112</v>
      </c>
      <c r="J1980" s="695">
        <f t="shared" si="263"/>
        <v>75</v>
      </c>
      <c r="K1980" s="855">
        <f t="shared" si="266"/>
        <v>0.6696428571428571</v>
      </c>
    </row>
    <row r="1981" spans="1:11" ht="24.95" customHeight="1">
      <c r="A1981" s="1184" t="s">
        <v>2178</v>
      </c>
      <c r="B1981" s="1190" t="s">
        <v>2179</v>
      </c>
      <c r="C1981" s="1158">
        <v>40</v>
      </c>
      <c r="D1981" s="1159">
        <v>17</v>
      </c>
      <c r="E1981" s="1173">
        <f t="shared" si="264"/>
        <v>0.42499999999999999</v>
      </c>
      <c r="F1981" s="1159">
        <v>750</v>
      </c>
      <c r="G1981" s="1159">
        <v>297</v>
      </c>
      <c r="H1981" s="1173">
        <f t="shared" si="265"/>
        <v>0.39600000000000002</v>
      </c>
      <c r="I1981" s="1155">
        <f t="shared" si="263"/>
        <v>790</v>
      </c>
      <c r="J1981" s="695">
        <f t="shared" si="263"/>
        <v>314</v>
      </c>
      <c r="K1981" s="855">
        <f t="shared" si="266"/>
        <v>0.39746835443037976</v>
      </c>
    </row>
    <row r="1982" spans="1:11" ht="24.95" customHeight="1">
      <c r="A1982" s="1184" t="s">
        <v>2633</v>
      </c>
      <c r="B1982" s="1174" t="s">
        <v>2965</v>
      </c>
      <c r="C1982" s="1158"/>
      <c r="D1982" s="1159"/>
      <c r="E1982" s="1173" t="e">
        <f t="shared" si="264"/>
        <v>#DIV/0!</v>
      </c>
      <c r="F1982" s="1159">
        <v>60</v>
      </c>
      <c r="G1982" s="1159">
        <v>47</v>
      </c>
      <c r="H1982" s="1173">
        <f t="shared" si="265"/>
        <v>0.78333333333333333</v>
      </c>
      <c r="I1982" s="1155">
        <f t="shared" si="263"/>
        <v>60</v>
      </c>
      <c r="J1982" s="695">
        <f t="shared" si="263"/>
        <v>47</v>
      </c>
      <c r="K1982" s="855">
        <f t="shared" si="266"/>
        <v>0.78333333333333333</v>
      </c>
    </row>
    <row r="1983" spans="1:11" ht="24.95" customHeight="1">
      <c r="A1983" s="1184" t="s">
        <v>2637</v>
      </c>
      <c r="B1983" s="1174" t="s">
        <v>2638</v>
      </c>
      <c r="C1983" s="1158"/>
      <c r="D1983" s="1159"/>
      <c r="E1983" s="1173" t="e">
        <f t="shared" si="264"/>
        <v>#DIV/0!</v>
      </c>
      <c r="F1983" s="1159">
        <v>110</v>
      </c>
      <c r="G1983" s="1159">
        <v>60</v>
      </c>
      <c r="H1983" s="1173">
        <f t="shared" si="265"/>
        <v>0.54545454545454541</v>
      </c>
      <c r="I1983" s="1155">
        <f t="shared" ref="I1983:J1993" si="267">+C1983+F1983</f>
        <v>110</v>
      </c>
      <c r="J1983" s="695">
        <f t="shared" si="267"/>
        <v>60</v>
      </c>
      <c r="K1983" s="855">
        <f t="shared" si="266"/>
        <v>0.54545454545454541</v>
      </c>
    </row>
    <row r="1984" spans="1:11" ht="24.95" customHeight="1">
      <c r="A1984" s="1184" t="s">
        <v>2639</v>
      </c>
      <c r="B1984" s="1174" t="s">
        <v>2640</v>
      </c>
      <c r="C1984" s="1158"/>
      <c r="D1984" s="1159"/>
      <c r="E1984" s="1173" t="e">
        <f t="shared" si="264"/>
        <v>#DIV/0!</v>
      </c>
      <c r="F1984" s="1159">
        <v>2</v>
      </c>
      <c r="G1984" s="1159">
        <v>1</v>
      </c>
      <c r="H1984" s="1173">
        <f t="shared" si="265"/>
        <v>0.5</v>
      </c>
      <c r="I1984" s="1155">
        <f t="shared" si="267"/>
        <v>2</v>
      </c>
      <c r="J1984" s="695">
        <f t="shared" si="267"/>
        <v>1</v>
      </c>
      <c r="K1984" s="855">
        <f t="shared" si="266"/>
        <v>0.5</v>
      </c>
    </row>
    <row r="1985" spans="1:12" ht="24.95" customHeight="1">
      <c r="A1985" s="1184" t="s">
        <v>2643</v>
      </c>
      <c r="B1985" s="1174" t="s">
        <v>3819</v>
      </c>
      <c r="C1985" s="1158">
        <v>1</v>
      </c>
      <c r="D1985" s="1159"/>
      <c r="E1985" s="1173">
        <f t="shared" si="264"/>
        <v>0</v>
      </c>
      <c r="F1985" s="1159">
        <v>85</v>
      </c>
      <c r="G1985" s="1159">
        <v>2</v>
      </c>
      <c r="H1985" s="1173">
        <f t="shared" si="265"/>
        <v>2.3529411764705882E-2</v>
      </c>
      <c r="I1985" s="1155">
        <f t="shared" si="267"/>
        <v>86</v>
      </c>
      <c r="J1985" s="695">
        <f t="shared" si="267"/>
        <v>2</v>
      </c>
      <c r="K1985" s="855">
        <f t="shared" si="266"/>
        <v>2.3255813953488372E-2</v>
      </c>
    </row>
    <row r="1986" spans="1:12" ht="24.95" customHeight="1">
      <c r="A1986" s="1184" t="s">
        <v>3761</v>
      </c>
      <c r="B1986" s="1174" t="s">
        <v>4429</v>
      </c>
      <c r="C1986" s="1158"/>
      <c r="D1986" s="1159"/>
      <c r="E1986" s="1173" t="e">
        <f t="shared" si="264"/>
        <v>#DIV/0!</v>
      </c>
      <c r="F1986" s="1159">
        <v>2</v>
      </c>
      <c r="G1986" s="1159"/>
      <c r="H1986" s="1173">
        <f t="shared" si="265"/>
        <v>0</v>
      </c>
      <c r="I1986" s="1155">
        <f t="shared" si="267"/>
        <v>2</v>
      </c>
      <c r="J1986" s="695">
        <f t="shared" si="267"/>
        <v>0</v>
      </c>
      <c r="K1986" s="855">
        <f t="shared" si="266"/>
        <v>0</v>
      </c>
    </row>
    <row r="1987" spans="1:12" ht="24.95" customHeight="1">
      <c r="A1987" s="1184" t="s">
        <v>2976</v>
      </c>
      <c r="B1987" s="1174" t="s">
        <v>2977</v>
      </c>
      <c r="C1987" s="1158"/>
      <c r="D1987" s="1159"/>
      <c r="E1987" s="1173" t="e">
        <f t="shared" si="264"/>
        <v>#DIV/0!</v>
      </c>
      <c r="F1987" s="1159">
        <v>185</v>
      </c>
      <c r="G1987" s="1159"/>
      <c r="H1987" s="1173">
        <f t="shared" si="265"/>
        <v>0</v>
      </c>
      <c r="I1987" s="1155">
        <f t="shared" si="267"/>
        <v>185</v>
      </c>
      <c r="J1987" s="695">
        <f t="shared" si="267"/>
        <v>0</v>
      </c>
      <c r="K1987" s="855">
        <f t="shared" si="266"/>
        <v>0</v>
      </c>
    </row>
    <row r="1988" spans="1:12" ht="24.95" customHeight="1">
      <c r="A1988" s="1184" t="s">
        <v>2645</v>
      </c>
      <c r="B1988" s="1190" t="s">
        <v>2646</v>
      </c>
      <c r="C1988" s="1158">
        <v>1</v>
      </c>
      <c r="D1988" s="1159">
        <v>1</v>
      </c>
      <c r="E1988" s="1173">
        <f t="shared" si="264"/>
        <v>1</v>
      </c>
      <c r="F1988" s="1159">
        <v>4450</v>
      </c>
      <c r="G1988" s="1159">
        <f>2248+9</f>
        <v>2257</v>
      </c>
      <c r="H1988" s="1173">
        <f t="shared" si="265"/>
        <v>0.507191011235955</v>
      </c>
      <c r="I1988" s="1155">
        <f t="shared" si="267"/>
        <v>4451</v>
      </c>
      <c r="J1988" s="695">
        <f t="shared" si="267"/>
        <v>2258</v>
      </c>
      <c r="K1988" s="855">
        <f t="shared" si="266"/>
        <v>0.50730172994832623</v>
      </c>
    </row>
    <row r="1989" spans="1:12" ht="24.95" customHeight="1">
      <c r="A1989" s="1184" t="s">
        <v>2647</v>
      </c>
      <c r="B1989" s="1189" t="s">
        <v>4430</v>
      </c>
      <c r="C1989" s="1158">
        <v>2485</v>
      </c>
      <c r="D1989" s="1159">
        <f>1469+17</f>
        <v>1486</v>
      </c>
      <c r="E1989" s="1173">
        <f t="shared" si="264"/>
        <v>0.59798792756539232</v>
      </c>
      <c r="F1989" s="1159">
        <v>31305</v>
      </c>
      <c r="G1989" s="1159">
        <v>17468</v>
      </c>
      <c r="H1989" s="1173">
        <f t="shared" si="265"/>
        <v>0.55799393068199965</v>
      </c>
      <c r="I1989" s="1155">
        <f t="shared" si="267"/>
        <v>33790</v>
      </c>
      <c r="J1989" s="695">
        <f t="shared" si="267"/>
        <v>18954</v>
      </c>
      <c r="K1989" s="855">
        <f t="shared" si="266"/>
        <v>0.56093518792542174</v>
      </c>
    </row>
    <row r="1990" spans="1:12" ht="24.95" customHeight="1">
      <c r="A1990" s="1184" t="s">
        <v>4431</v>
      </c>
      <c r="B1990" s="1189" t="s">
        <v>4432</v>
      </c>
      <c r="C1990" s="1158">
        <v>2</v>
      </c>
      <c r="D1990" s="1159"/>
      <c r="E1990" s="1173">
        <f t="shared" si="264"/>
        <v>0</v>
      </c>
      <c r="F1990" s="1159"/>
      <c r="G1990" s="1159"/>
      <c r="H1990" s="1173" t="e">
        <f t="shared" si="265"/>
        <v>#DIV/0!</v>
      </c>
      <c r="I1990" s="1155">
        <f t="shared" si="267"/>
        <v>2</v>
      </c>
      <c r="J1990" s="695">
        <f t="shared" si="267"/>
        <v>0</v>
      </c>
      <c r="K1990" s="855">
        <f t="shared" si="266"/>
        <v>0</v>
      </c>
    </row>
    <row r="1991" spans="1:12" ht="24.95" customHeight="1">
      <c r="A1991" s="1184" t="s">
        <v>4433</v>
      </c>
      <c r="B1991" s="1189" t="s">
        <v>4434</v>
      </c>
      <c r="C1991" s="1158"/>
      <c r="D1991" s="1158"/>
      <c r="E1991" s="1173" t="e">
        <f t="shared" si="264"/>
        <v>#DIV/0!</v>
      </c>
      <c r="F1991" s="1158">
        <v>10</v>
      </c>
      <c r="G1991" s="1158"/>
      <c r="H1991" s="1173">
        <f t="shared" si="265"/>
        <v>0</v>
      </c>
      <c r="I1991" s="1155">
        <f t="shared" si="267"/>
        <v>10</v>
      </c>
      <c r="J1991" s="695">
        <f t="shared" si="267"/>
        <v>0</v>
      </c>
      <c r="K1991" s="855">
        <f t="shared" si="266"/>
        <v>0</v>
      </c>
    </row>
    <row r="1992" spans="1:12" ht="24.95" customHeight="1">
      <c r="A1992" s="1184" t="s">
        <v>4154</v>
      </c>
      <c r="B1992" s="1189" t="s">
        <v>4155</v>
      </c>
      <c r="C1992" s="1158">
        <v>2</v>
      </c>
      <c r="D1992" s="1158"/>
      <c r="E1992" s="1173">
        <f t="shared" si="264"/>
        <v>0</v>
      </c>
      <c r="F1992" s="1158"/>
      <c r="G1992" s="1158"/>
      <c r="H1992" s="1173" t="e">
        <f t="shared" si="265"/>
        <v>#DIV/0!</v>
      </c>
      <c r="I1992" s="1155">
        <f t="shared" si="267"/>
        <v>2</v>
      </c>
      <c r="J1992" s="695">
        <f t="shared" si="267"/>
        <v>0</v>
      </c>
      <c r="K1992" s="855">
        <f t="shared" si="266"/>
        <v>0</v>
      </c>
    </row>
    <row r="1993" spans="1:12" ht="24.95" customHeight="1">
      <c r="A1993" s="1184" t="s">
        <v>2649</v>
      </c>
      <c r="B1993" s="1189" t="s">
        <v>2650</v>
      </c>
      <c r="C1993" s="1158">
        <v>27705</v>
      </c>
      <c r="D1993" s="1158">
        <v>50862</v>
      </c>
      <c r="E1993" s="1173">
        <f t="shared" si="264"/>
        <v>1.8358419057931781</v>
      </c>
      <c r="F1993" s="1158">
        <v>15450</v>
      </c>
      <c r="G1993" s="1158">
        <v>10421</v>
      </c>
      <c r="H1993" s="1173">
        <f t="shared" si="265"/>
        <v>0.6744983818770226</v>
      </c>
      <c r="I1993" s="1155">
        <f t="shared" si="267"/>
        <v>43155</v>
      </c>
      <c r="J1993" s="695">
        <f t="shared" si="267"/>
        <v>61283</v>
      </c>
      <c r="K1993" s="855">
        <f t="shared" si="266"/>
        <v>1.4200671996292433</v>
      </c>
      <c r="L1993" s="1198"/>
    </row>
    <row r="1994" spans="1:12" ht="24.95" customHeight="1">
      <c r="A1994" s="1184"/>
      <c r="B1994" s="1189" t="s">
        <v>2</v>
      </c>
      <c r="C1994" s="1158">
        <f t="shared" ref="C1994:J1994" si="268">SUM(C1841:C1993)</f>
        <v>155725</v>
      </c>
      <c r="D1994" s="1158">
        <f t="shared" si="268"/>
        <v>125749</v>
      </c>
      <c r="E1994" s="1173">
        <f t="shared" si="264"/>
        <v>0.80750682292502807</v>
      </c>
      <c r="F1994" s="1158">
        <f t="shared" si="268"/>
        <v>67910</v>
      </c>
      <c r="G1994" s="1158">
        <f t="shared" si="268"/>
        <v>38527</v>
      </c>
      <c r="H1994" s="1173">
        <f t="shared" si="265"/>
        <v>0.56732439994109851</v>
      </c>
      <c r="I1994" s="1158">
        <f t="shared" si="268"/>
        <v>223614</v>
      </c>
      <c r="J1994" s="1158">
        <f t="shared" si="268"/>
        <v>164276</v>
      </c>
      <c r="K1994" s="855">
        <f t="shared" si="266"/>
        <v>0.73464094376917366</v>
      </c>
    </row>
    <row r="1995" spans="1:12" ht="24.95" customHeight="1">
      <c r="A1995" s="1199"/>
      <c r="B1995" s="1200" t="s">
        <v>3978</v>
      </c>
      <c r="C1995" s="2067"/>
      <c r="D1995" s="2067"/>
      <c r="E1995" s="2067"/>
      <c r="F1995" s="2067"/>
      <c r="G1995" s="2067"/>
      <c r="H1995" s="2067"/>
      <c r="I1995" s="2067"/>
      <c r="J1995" s="149"/>
      <c r="K1995" s="855"/>
    </row>
    <row r="1996" spans="1:12" ht="24.95" customHeight="1">
      <c r="A1996" s="1171" t="s">
        <v>2373</v>
      </c>
      <c r="B1996" s="1172" t="s">
        <v>2374</v>
      </c>
      <c r="C1996" s="1158"/>
      <c r="D1996" s="1158"/>
      <c r="E1996" s="1201"/>
      <c r="F1996" s="1158">
        <v>150</v>
      </c>
      <c r="G1996" s="1158">
        <v>76</v>
      </c>
      <c r="H1996" s="1201">
        <f>+G1996/F1996</f>
        <v>0.50666666666666671</v>
      </c>
      <c r="I1996" s="1155">
        <f t="shared" ref="I1996:J2026" si="269">+C1996+F1996</f>
        <v>150</v>
      </c>
      <c r="J1996" s="695">
        <f>+D1996+G1996</f>
        <v>76</v>
      </c>
      <c r="K1996" s="855">
        <f>+J1996/I1996</f>
        <v>0.50666666666666671</v>
      </c>
    </row>
    <row r="1997" spans="1:12" ht="24.95" customHeight="1">
      <c r="A1997" s="1179" t="s">
        <v>4228</v>
      </c>
      <c r="B1997" s="1180" t="s">
        <v>4229</v>
      </c>
      <c r="C1997" s="1158"/>
      <c r="D1997" s="1158"/>
      <c r="E1997" s="1201"/>
      <c r="F1997" s="1202">
        <v>0</v>
      </c>
      <c r="G1997" s="1202"/>
      <c r="H1997" s="1201" t="e">
        <f t="shared" ref="H1997:H2030" si="270">+G1997/F1997</f>
        <v>#DIV/0!</v>
      </c>
      <c r="I1997" s="1155">
        <f t="shared" si="269"/>
        <v>0</v>
      </c>
      <c r="J1997" s="695">
        <f t="shared" si="269"/>
        <v>0</v>
      </c>
      <c r="K1997" s="855" t="e">
        <f t="shared" ref="K1997:K2030" si="271">+J1997/I1997</f>
        <v>#DIV/0!</v>
      </c>
    </row>
    <row r="1998" spans="1:12" ht="24.95" customHeight="1">
      <c r="A1998" s="1165" t="s">
        <v>3404</v>
      </c>
      <c r="B1998" s="1180" t="s">
        <v>3405</v>
      </c>
      <c r="C1998" s="1158"/>
      <c r="D1998" s="1158"/>
      <c r="E1998" s="1201"/>
      <c r="F1998" s="1202">
        <v>35</v>
      </c>
      <c r="G1998" s="1202">
        <v>18</v>
      </c>
      <c r="H1998" s="1201">
        <f t="shared" si="270"/>
        <v>0.51428571428571423</v>
      </c>
      <c r="I1998" s="1155">
        <f t="shared" si="269"/>
        <v>35</v>
      </c>
      <c r="J1998" s="695">
        <f t="shared" si="269"/>
        <v>18</v>
      </c>
      <c r="K1998" s="855">
        <f t="shared" si="271"/>
        <v>0.51428571428571423</v>
      </c>
    </row>
    <row r="1999" spans="1:12" ht="24.95" customHeight="1">
      <c r="A1999" s="1156" t="s">
        <v>4252</v>
      </c>
      <c r="B1999" s="1160" t="s">
        <v>4253</v>
      </c>
      <c r="C1999" s="1158"/>
      <c r="D1999" s="1158"/>
      <c r="E1999" s="1201"/>
      <c r="F1999" s="1202">
        <v>1</v>
      </c>
      <c r="G1999" s="1202"/>
      <c r="H1999" s="1201">
        <f t="shared" si="270"/>
        <v>0</v>
      </c>
      <c r="I1999" s="1155">
        <f t="shared" si="269"/>
        <v>1</v>
      </c>
      <c r="J1999" s="695">
        <f t="shared" si="269"/>
        <v>0</v>
      </c>
      <c r="K1999" s="855">
        <f t="shared" si="271"/>
        <v>0</v>
      </c>
    </row>
    <row r="2000" spans="1:12" ht="24.95" customHeight="1">
      <c r="A2000" s="1156" t="s">
        <v>4435</v>
      </c>
      <c r="B2000" s="1160" t="s">
        <v>4259</v>
      </c>
      <c r="C2000" s="1158"/>
      <c r="D2000" s="1158"/>
      <c r="E2000" s="1201"/>
      <c r="F2000" s="1202">
        <v>1</v>
      </c>
      <c r="G2000" s="1202"/>
      <c r="H2000" s="1201">
        <f t="shared" si="270"/>
        <v>0</v>
      </c>
      <c r="I2000" s="1155">
        <f t="shared" si="269"/>
        <v>1</v>
      </c>
      <c r="J2000" s="695">
        <f t="shared" si="269"/>
        <v>0</v>
      </c>
      <c r="K2000" s="855">
        <f t="shared" si="271"/>
        <v>0</v>
      </c>
    </row>
    <row r="2001" spans="1:11" ht="24.95" customHeight="1">
      <c r="A2001" s="1156" t="s">
        <v>4167</v>
      </c>
      <c r="B2001" s="1163" t="s">
        <v>4168</v>
      </c>
      <c r="C2001" s="1158"/>
      <c r="D2001" s="1158"/>
      <c r="E2001" s="1201"/>
      <c r="F2001" s="1158">
        <v>1</v>
      </c>
      <c r="G2001" s="1158">
        <v>1</v>
      </c>
      <c r="H2001" s="1201">
        <f t="shared" si="270"/>
        <v>1</v>
      </c>
      <c r="I2001" s="1155">
        <f t="shared" si="269"/>
        <v>1</v>
      </c>
      <c r="J2001" s="695">
        <f t="shared" si="269"/>
        <v>1</v>
      </c>
      <c r="K2001" s="855">
        <f t="shared" si="271"/>
        <v>1</v>
      </c>
    </row>
    <row r="2002" spans="1:11" ht="24.95" customHeight="1">
      <c r="A2002" s="1156" t="s">
        <v>4264</v>
      </c>
      <c r="B2002" s="1163" t="s">
        <v>4265</v>
      </c>
      <c r="C2002" s="1158"/>
      <c r="D2002" s="1158"/>
      <c r="E2002" s="1201"/>
      <c r="F2002" s="1202">
        <v>2</v>
      </c>
      <c r="G2002" s="1202"/>
      <c r="H2002" s="1201">
        <f t="shared" si="270"/>
        <v>0</v>
      </c>
      <c r="I2002" s="1155">
        <f t="shared" si="269"/>
        <v>2</v>
      </c>
      <c r="J2002" s="695">
        <f t="shared" si="269"/>
        <v>0</v>
      </c>
      <c r="K2002" s="855">
        <f t="shared" si="271"/>
        <v>0</v>
      </c>
    </row>
    <row r="2003" spans="1:11" ht="24.95" customHeight="1">
      <c r="A2003" s="1165" t="s">
        <v>4266</v>
      </c>
      <c r="B2003" s="1181" t="s">
        <v>4267</v>
      </c>
      <c r="C2003" s="1158"/>
      <c r="D2003" s="1158"/>
      <c r="E2003" s="1201"/>
      <c r="F2003" s="1158">
        <v>75</v>
      </c>
      <c r="G2003" s="1158">
        <v>41</v>
      </c>
      <c r="H2003" s="1201">
        <f t="shared" si="270"/>
        <v>0.54666666666666663</v>
      </c>
      <c r="I2003" s="1155">
        <f t="shared" si="269"/>
        <v>75</v>
      </c>
      <c r="J2003" s="695">
        <f t="shared" si="269"/>
        <v>41</v>
      </c>
      <c r="K2003" s="855">
        <f t="shared" si="271"/>
        <v>0.54666666666666663</v>
      </c>
    </row>
    <row r="2004" spans="1:11" ht="24.95" customHeight="1">
      <c r="A2004" s="1165" t="s">
        <v>4268</v>
      </c>
      <c r="B2004" s="1181" t="s">
        <v>4269</v>
      </c>
      <c r="C2004" s="1158"/>
      <c r="D2004" s="1158"/>
      <c r="E2004" s="1201"/>
      <c r="F2004" s="1202">
        <v>0</v>
      </c>
      <c r="G2004" s="1202"/>
      <c r="H2004" s="1201" t="e">
        <f t="shared" si="270"/>
        <v>#DIV/0!</v>
      </c>
      <c r="I2004" s="1155">
        <f t="shared" si="269"/>
        <v>0</v>
      </c>
      <c r="J2004" s="695">
        <f t="shared" si="269"/>
        <v>0</v>
      </c>
      <c r="K2004" s="855" t="e">
        <f t="shared" si="271"/>
        <v>#DIV/0!</v>
      </c>
    </row>
    <row r="2005" spans="1:11" ht="24.95" customHeight="1">
      <c r="A2005" s="1165" t="s">
        <v>4274</v>
      </c>
      <c r="B2005" s="1181" t="s">
        <v>4275</v>
      </c>
      <c r="C2005" s="1158"/>
      <c r="D2005" s="1158"/>
      <c r="E2005" s="1201"/>
      <c r="F2005" s="1202">
        <v>55</v>
      </c>
      <c r="G2005" s="1202">
        <v>29</v>
      </c>
      <c r="H2005" s="1201">
        <f t="shared" si="270"/>
        <v>0.52727272727272723</v>
      </c>
      <c r="I2005" s="1155">
        <f t="shared" si="269"/>
        <v>55</v>
      </c>
      <c r="J2005" s="695">
        <f t="shared" si="269"/>
        <v>29</v>
      </c>
      <c r="K2005" s="855">
        <f t="shared" si="271"/>
        <v>0.52727272727272723</v>
      </c>
    </row>
    <row r="2006" spans="1:11" ht="24.95" customHeight="1">
      <c r="A2006" s="1165" t="s">
        <v>4436</v>
      </c>
      <c r="B2006" s="1181" t="s">
        <v>4437</v>
      </c>
      <c r="C2006" s="1158"/>
      <c r="D2006" s="1158"/>
      <c r="E2006" s="1201"/>
      <c r="F2006" s="1202">
        <v>2</v>
      </c>
      <c r="G2006" s="1202">
        <v>2</v>
      </c>
      <c r="H2006" s="1201">
        <f t="shared" si="270"/>
        <v>1</v>
      </c>
      <c r="I2006" s="1155">
        <f t="shared" si="269"/>
        <v>2</v>
      </c>
      <c r="J2006" s="695">
        <f t="shared" si="269"/>
        <v>2</v>
      </c>
      <c r="K2006" s="855">
        <f t="shared" si="271"/>
        <v>1</v>
      </c>
    </row>
    <row r="2007" spans="1:11" ht="24.95" customHeight="1">
      <c r="A2007" s="1165" t="s">
        <v>4278</v>
      </c>
      <c r="B2007" s="1166" t="s">
        <v>4279</v>
      </c>
      <c r="C2007" s="1158"/>
      <c r="D2007" s="1158"/>
      <c r="E2007" s="1201"/>
      <c r="F2007" s="1202">
        <v>6</v>
      </c>
      <c r="G2007" s="1202">
        <v>1</v>
      </c>
      <c r="H2007" s="1201">
        <f t="shared" si="270"/>
        <v>0.16666666666666666</v>
      </c>
      <c r="I2007" s="1155">
        <f t="shared" si="269"/>
        <v>6</v>
      </c>
      <c r="J2007" s="695">
        <f t="shared" si="269"/>
        <v>1</v>
      </c>
      <c r="K2007" s="855">
        <f t="shared" si="271"/>
        <v>0.16666666666666666</v>
      </c>
    </row>
    <row r="2008" spans="1:11" ht="24.95" customHeight="1">
      <c r="A2008" s="1179" t="s">
        <v>4438</v>
      </c>
      <c r="B2008" s="1180" t="s">
        <v>4281</v>
      </c>
      <c r="C2008" s="1158"/>
      <c r="D2008" s="1158"/>
      <c r="E2008" s="1201"/>
      <c r="F2008" s="1202">
        <v>15</v>
      </c>
      <c r="G2008" s="1202">
        <v>7</v>
      </c>
      <c r="H2008" s="1201">
        <f t="shared" si="270"/>
        <v>0.46666666666666667</v>
      </c>
      <c r="I2008" s="1155">
        <f t="shared" si="269"/>
        <v>15</v>
      </c>
      <c r="J2008" s="695">
        <f t="shared" si="269"/>
        <v>7</v>
      </c>
      <c r="K2008" s="855">
        <f t="shared" si="271"/>
        <v>0.46666666666666667</v>
      </c>
    </row>
    <row r="2009" spans="1:11" ht="24.95" customHeight="1">
      <c r="A2009" s="1165" t="s">
        <v>4284</v>
      </c>
      <c r="B2009" s="1183" t="s">
        <v>4285</v>
      </c>
      <c r="C2009" s="1158"/>
      <c r="D2009" s="1158"/>
      <c r="E2009" s="1201"/>
      <c r="F2009" s="1202">
        <v>2</v>
      </c>
      <c r="G2009" s="1202"/>
      <c r="H2009" s="1201">
        <f t="shared" si="270"/>
        <v>0</v>
      </c>
      <c r="I2009" s="1155">
        <f t="shared" si="269"/>
        <v>2</v>
      </c>
      <c r="J2009" s="695">
        <f t="shared" si="269"/>
        <v>0</v>
      </c>
      <c r="K2009" s="855">
        <f t="shared" si="271"/>
        <v>0</v>
      </c>
    </row>
    <row r="2010" spans="1:11" ht="24.95" customHeight="1">
      <c r="A2010" s="1165" t="s">
        <v>4209</v>
      </c>
      <c r="B2010" s="1167" t="s">
        <v>4439</v>
      </c>
      <c r="C2010" s="1158"/>
      <c r="D2010" s="1158"/>
      <c r="E2010" s="1201"/>
      <c r="F2010" s="1202">
        <v>1</v>
      </c>
      <c r="G2010" s="1202"/>
      <c r="H2010" s="1201">
        <f t="shared" si="270"/>
        <v>0</v>
      </c>
      <c r="I2010" s="1155">
        <f t="shared" si="269"/>
        <v>1</v>
      </c>
      <c r="J2010" s="695">
        <f t="shared" si="269"/>
        <v>0</v>
      </c>
      <c r="K2010" s="855">
        <f t="shared" si="271"/>
        <v>0</v>
      </c>
    </row>
    <row r="2011" spans="1:11" ht="24.95" customHeight="1">
      <c r="A2011" s="1165" t="s">
        <v>4290</v>
      </c>
      <c r="B2011" s="1167" t="s">
        <v>4291</v>
      </c>
      <c r="C2011" s="1158"/>
      <c r="D2011" s="1158"/>
      <c r="E2011" s="1201"/>
      <c r="F2011" s="1158">
        <v>0</v>
      </c>
      <c r="G2011" s="1158"/>
      <c r="H2011" s="1201" t="e">
        <f t="shared" si="270"/>
        <v>#DIV/0!</v>
      </c>
      <c r="I2011" s="1155">
        <f t="shared" si="269"/>
        <v>0</v>
      </c>
      <c r="J2011" s="695">
        <f t="shared" si="269"/>
        <v>0</v>
      </c>
      <c r="K2011" s="855" t="e">
        <f t="shared" si="271"/>
        <v>#DIV/0!</v>
      </c>
    </row>
    <row r="2012" spans="1:11" ht="24.95" customHeight="1">
      <c r="A2012" s="1184" t="s">
        <v>4344</v>
      </c>
      <c r="B2012" s="1189" t="s">
        <v>4345</v>
      </c>
      <c r="C2012" s="1158"/>
      <c r="D2012" s="1158"/>
      <c r="E2012" s="1201"/>
      <c r="F2012" s="1202">
        <v>65</v>
      </c>
      <c r="G2012" s="1202">
        <v>30</v>
      </c>
      <c r="H2012" s="1201">
        <f t="shared" si="270"/>
        <v>0.46153846153846156</v>
      </c>
      <c r="I2012" s="1155">
        <f t="shared" si="269"/>
        <v>65</v>
      </c>
      <c r="J2012" s="695">
        <f t="shared" si="269"/>
        <v>30</v>
      </c>
      <c r="K2012" s="855">
        <f t="shared" si="271"/>
        <v>0.46153846153846156</v>
      </c>
    </row>
    <row r="2013" spans="1:11" ht="24.95" customHeight="1">
      <c r="A2013" s="1156" t="s">
        <v>4348</v>
      </c>
      <c r="B2013" s="1175" t="s">
        <v>4349</v>
      </c>
      <c r="C2013" s="1158"/>
      <c r="D2013" s="1158"/>
      <c r="E2013" s="1201"/>
      <c r="F2013" s="1158">
        <v>60</v>
      </c>
      <c r="G2013" s="1158">
        <v>27</v>
      </c>
      <c r="H2013" s="1201">
        <f t="shared" si="270"/>
        <v>0.45</v>
      </c>
      <c r="I2013" s="1155">
        <f t="shared" si="269"/>
        <v>60</v>
      </c>
      <c r="J2013" s="695">
        <f t="shared" si="269"/>
        <v>27</v>
      </c>
      <c r="K2013" s="855">
        <f t="shared" si="271"/>
        <v>0.45</v>
      </c>
    </row>
    <row r="2014" spans="1:11" ht="24.95" customHeight="1">
      <c r="A2014" s="1156" t="s">
        <v>4360</v>
      </c>
      <c r="B2014" s="1175" t="s">
        <v>4361</v>
      </c>
      <c r="C2014" s="1158"/>
      <c r="D2014" s="1158"/>
      <c r="E2014" s="1201"/>
      <c r="F2014" s="1158">
        <v>1</v>
      </c>
      <c r="G2014" s="1158"/>
      <c r="H2014" s="1201">
        <f t="shared" si="270"/>
        <v>0</v>
      </c>
      <c r="I2014" s="1155">
        <f t="shared" si="269"/>
        <v>1</v>
      </c>
      <c r="J2014" s="695">
        <f t="shared" si="269"/>
        <v>0</v>
      </c>
      <c r="K2014" s="855">
        <f t="shared" si="271"/>
        <v>0</v>
      </c>
    </row>
    <row r="2015" spans="1:11" ht="24.95" customHeight="1">
      <c r="A2015" s="1165" t="s">
        <v>4399</v>
      </c>
      <c r="B2015" s="1183" t="s">
        <v>4400</v>
      </c>
      <c r="C2015" s="1158"/>
      <c r="D2015" s="1158"/>
      <c r="E2015" s="1201"/>
      <c r="F2015" s="1202">
        <v>0</v>
      </c>
      <c r="G2015" s="1202"/>
      <c r="H2015" s="1201" t="e">
        <f t="shared" si="270"/>
        <v>#DIV/0!</v>
      </c>
      <c r="I2015" s="1155">
        <f t="shared" si="269"/>
        <v>0</v>
      </c>
      <c r="J2015" s="695">
        <f t="shared" si="269"/>
        <v>0</v>
      </c>
      <c r="K2015" s="855" t="e">
        <f t="shared" si="271"/>
        <v>#DIV/0!</v>
      </c>
    </row>
    <row r="2016" spans="1:11" ht="24.95" customHeight="1">
      <c r="A2016" s="1156" t="s">
        <v>4405</v>
      </c>
      <c r="B2016" s="1196" t="s">
        <v>4406</v>
      </c>
      <c r="C2016" s="1158"/>
      <c r="D2016" s="1158"/>
      <c r="E2016" s="1201"/>
      <c r="F2016" s="1158">
        <v>2</v>
      </c>
      <c r="G2016" s="1158">
        <v>6</v>
      </c>
      <c r="H2016" s="1201">
        <f t="shared" si="270"/>
        <v>3</v>
      </c>
      <c r="I2016" s="1155">
        <f t="shared" si="269"/>
        <v>2</v>
      </c>
      <c r="J2016" s="695">
        <f t="shared" si="269"/>
        <v>6</v>
      </c>
      <c r="K2016" s="855">
        <f t="shared" si="271"/>
        <v>3</v>
      </c>
    </row>
    <row r="2017" spans="1:13" ht="24.95" customHeight="1">
      <c r="A2017" s="1156" t="s">
        <v>4407</v>
      </c>
      <c r="B2017" s="1166" t="s">
        <v>4408</v>
      </c>
      <c r="C2017" s="1158"/>
      <c r="D2017" s="1158"/>
      <c r="E2017" s="1201"/>
      <c r="F2017" s="1158">
        <v>0</v>
      </c>
      <c r="G2017" s="1158"/>
      <c r="H2017" s="1201" t="e">
        <f t="shared" si="270"/>
        <v>#DIV/0!</v>
      </c>
      <c r="I2017" s="1155">
        <f t="shared" si="269"/>
        <v>0</v>
      </c>
      <c r="J2017" s="695">
        <f t="shared" si="269"/>
        <v>0</v>
      </c>
      <c r="K2017" s="855" t="e">
        <f t="shared" si="271"/>
        <v>#DIV/0!</v>
      </c>
    </row>
    <row r="2018" spans="1:13" ht="24.95" customHeight="1">
      <c r="A2018" s="1156" t="s">
        <v>2898</v>
      </c>
      <c r="B2018" s="1175" t="s">
        <v>2899</v>
      </c>
      <c r="C2018" s="1158"/>
      <c r="D2018" s="1158"/>
      <c r="E2018" s="1201"/>
      <c r="F2018" s="1158">
        <v>125</v>
      </c>
      <c r="G2018" s="1158">
        <v>59</v>
      </c>
      <c r="H2018" s="1201">
        <f t="shared" si="270"/>
        <v>0.47199999999999998</v>
      </c>
      <c r="I2018" s="1155">
        <f t="shared" si="269"/>
        <v>125</v>
      </c>
      <c r="J2018" s="695">
        <f t="shared" si="269"/>
        <v>59</v>
      </c>
      <c r="K2018" s="855">
        <f t="shared" si="271"/>
        <v>0.47199999999999998</v>
      </c>
    </row>
    <row r="2019" spans="1:13" ht="24.95" customHeight="1">
      <c r="A2019" s="1184" t="s">
        <v>2550</v>
      </c>
      <c r="B2019" s="1190" t="s">
        <v>2551</v>
      </c>
      <c r="C2019" s="1158"/>
      <c r="D2019" s="1158"/>
      <c r="E2019" s="1201"/>
      <c r="F2019" s="1202">
        <v>5</v>
      </c>
      <c r="G2019" s="1202">
        <v>2</v>
      </c>
      <c r="H2019" s="1201">
        <f t="shared" si="270"/>
        <v>0.4</v>
      </c>
      <c r="I2019" s="1155">
        <f t="shared" si="269"/>
        <v>5</v>
      </c>
      <c r="J2019" s="695">
        <f t="shared" si="269"/>
        <v>2</v>
      </c>
      <c r="K2019" s="855">
        <f t="shared" si="271"/>
        <v>0.4</v>
      </c>
    </row>
    <row r="2020" spans="1:13" ht="24.95" customHeight="1">
      <c r="A2020" s="1184" t="s">
        <v>2554</v>
      </c>
      <c r="B2020" s="1190" t="s">
        <v>4151</v>
      </c>
      <c r="C2020" s="1158"/>
      <c r="D2020" s="1158"/>
      <c r="E2020" s="1201"/>
      <c r="F2020" s="1202">
        <v>30</v>
      </c>
      <c r="G2020" s="1202">
        <v>18</v>
      </c>
      <c r="H2020" s="1201">
        <f t="shared" si="270"/>
        <v>0.6</v>
      </c>
      <c r="I2020" s="1155">
        <f t="shared" si="269"/>
        <v>30</v>
      </c>
      <c r="J2020" s="695">
        <f t="shared" si="269"/>
        <v>18</v>
      </c>
      <c r="K2020" s="855">
        <f t="shared" si="271"/>
        <v>0.6</v>
      </c>
    </row>
    <row r="2021" spans="1:13" ht="24.95" customHeight="1">
      <c r="A2021" s="1156" t="s">
        <v>4427</v>
      </c>
      <c r="B2021" s="1175" t="s">
        <v>4428</v>
      </c>
      <c r="C2021" s="1158"/>
      <c r="D2021" s="1158"/>
      <c r="E2021" s="1201"/>
      <c r="F2021" s="1202">
        <v>30</v>
      </c>
      <c r="G2021" s="1202">
        <v>21</v>
      </c>
      <c r="H2021" s="1201">
        <f t="shared" si="270"/>
        <v>0.7</v>
      </c>
      <c r="I2021" s="1155">
        <f t="shared" si="269"/>
        <v>30</v>
      </c>
      <c r="J2021" s="695">
        <f t="shared" si="269"/>
        <v>21</v>
      </c>
      <c r="K2021" s="855">
        <f t="shared" si="271"/>
        <v>0.7</v>
      </c>
    </row>
    <row r="2022" spans="1:13" ht="24.95" customHeight="1">
      <c r="A2022" s="1184" t="s">
        <v>2327</v>
      </c>
      <c r="B2022" s="1189" t="s">
        <v>2328</v>
      </c>
      <c r="C2022" s="1158"/>
      <c r="D2022" s="1158"/>
      <c r="E2022" s="1201"/>
      <c r="F2022" s="1202">
        <v>2</v>
      </c>
      <c r="G2022" s="1202"/>
      <c r="H2022" s="1201">
        <f t="shared" si="270"/>
        <v>0</v>
      </c>
      <c r="I2022" s="1155">
        <f t="shared" si="269"/>
        <v>2</v>
      </c>
      <c r="J2022" s="695">
        <f t="shared" si="269"/>
        <v>0</v>
      </c>
      <c r="K2022" s="855">
        <f t="shared" si="271"/>
        <v>0</v>
      </c>
    </row>
    <row r="2023" spans="1:13" ht="24.95" customHeight="1">
      <c r="A2023" s="1184" t="s">
        <v>2176</v>
      </c>
      <c r="B2023" s="1189" t="s">
        <v>2177</v>
      </c>
      <c r="C2023" s="1158"/>
      <c r="D2023" s="1158"/>
      <c r="E2023" s="1201"/>
      <c r="F2023" s="1202">
        <v>0</v>
      </c>
      <c r="G2023" s="1202"/>
      <c r="H2023" s="1201" t="e">
        <f t="shared" si="270"/>
        <v>#DIV/0!</v>
      </c>
      <c r="I2023" s="1155">
        <f t="shared" si="269"/>
        <v>0</v>
      </c>
      <c r="J2023" s="695">
        <f t="shared" si="269"/>
        <v>0</v>
      </c>
      <c r="K2023" s="855" t="e">
        <f t="shared" si="271"/>
        <v>#DIV/0!</v>
      </c>
    </row>
    <row r="2024" spans="1:13" ht="24.95" customHeight="1">
      <c r="A2024" s="1184" t="s">
        <v>2620</v>
      </c>
      <c r="B2024" s="1189" t="s">
        <v>2621</v>
      </c>
      <c r="C2024" s="1158"/>
      <c r="D2024" s="1158"/>
      <c r="E2024" s="1201"/>
      <c r="F2024" s="1202">
        <v>2</v>
      </c>
      <c r="G2024" s="1202">
        <v>3</v>
      </c>
      <c r="H2024" s="1201">
        <f t="shared" si="270"/>
        <v>1.5</v>
      </c>
      <c r="I2024" s="1155">
        <f t="shared" si="269"/>
        <v>2</v>
      </c>
      <c r="J2024" s="695">
        <f t="shared" si="269"/>
        <v>3</v>
      </c>
      <c r="K2024" s="855">
        <f t="shared" si="271"/>
        <v>1.5</v>
      </c>
    </row>
    <row r="2025" spans="1:13" ht="24.95" customHeight="1">
      <c r="A2025" s="1184" t="s">
        <v>2624</v>
      </c>
      <c r="B2025" s="1189" t="s">
        <v>2330</v>
      </c>
      <c r="C2025" s="1158"/>
      <c r="D2025" s="1158"/>
      <c r="E2025" s="1201"/>
      <c r="F2025" s="1202">
        <v>5</v>
      </c>
      <c r="G2025" s="1202"/>
      <c r="H2025" s="1201">
        <f t="shared" si="270"/>
        <v>0</v>
      </c>
      <c r="I2025" s="1155">
        <f t="shared" si="269"/>
        <v>5</v>
      </c>
      <c r="J2025" s="695">
        <f t="shared" si="269"/>
        <v>0</v>
      </c>
      <c r="K2025" s="855">
        <f t="shared" si="271"/>
        <v>0</v>
      </c>
    </row>
    <row r="2026" spans="1:13" ht="24.95" customHeight="1">
      <c r="A2026" s="1184" t="s">
        <v>2649</v>
      </c>
      <c r="B2026" s="1189" t="s">
        <v>2650</v>
      </c>
      <c r="C2026" s="1158"/>
      <c r="D2026" s="1158"/>
      <c r="E2026" s="1201"/>
      <c r="F2026" s="1158">
        <v>1225</v>
      </c>
      <c r="G2026" s="1158">
        <f>572+12</f>
        <v>584</v>
      </c>
      <c r="H2026" s="1201">
        <f t="shared" si="270"/>
        <v>0.47673469387755102</v>
      </c>
      <c r="I2026" s="1155">
        <f t="shared" si="269"/>
        <v>1225</v>
      </c>
      <c r="J2026" s="695">
        <f t="shared" si="269"/>
        <v>584</v>
      </c>
      <c r="K2026" s="855">
        <f t="shared" si="271"/>
        <v>0.47673469387755102</v>
      </c>
    </row>
    <row r="2027" spans="1:13" ht="24.95" customHeight="1">
      <c r="A2027" s="1203"/>
      <c r="B2027" s="1204" t="s">
        <v>3983</v>
      </c>
      <c r="C2027" s="1205">
        <f t="shared" ref="C2027:J2027" si="272">SUM(C1996:C2026)</f>
        <v>0</v>
      </c>
      <c r="D2027" s="1205">
        <f t="shared" si="272"/>
        <v>0</v>
      </c>
      <c r="E2027" s="1206" t="e">
        <f>+D2027/C2027</f>
        <v>#DIV/0!</v>
      </c>
      <c r="F2027" s="1205">
        <f t="shared" si="272"/>
        <v>1898</v>
      </c>
      <c r="G2027" s="1205">
        <f t="shared" si="272"/>
        <v>925</v>
      </c>
      <c r="H2027" s="1201">
        <f t="shared" si="270"/>
        <v>0.48735511064278186</v>
      </c>
      <c r="I2027" s="1205">
        <f t="shared" si="272"/>
        <v>1898</v>
      </c>
      <c r="J2027" s="1205">
        <f t="shared" si="272"/>
        <v>925</v>
      </c>
      <c r="K2027" s="855">
        <f t="shared" si="271"/>
        <v>0.48735511064278186</v>
      </c>
    </row>
    <row r="2028" spans="1:13" ht="24.95" customHeight="1">
      <c r="A2028" s="1147"/>
      <c r="B2028" s="1207" t="s">
        <v>3113</v>
      </c>
      <c r="C2028" s="1202">
        <f t="shared" ref="C2028:J2028" si="273">+C1994</f>
        <v>155725</v>
      </c>
      <c r="D2028" s="1202">
        <f t="shared" si="273"/>
        <v>125749</v>
      </c>
      <c r="E2028" s="1206">
        <f t="shared" ref="E2028:E2030" si="274">+D2028/C2028</f>
        <v>0.80750682292502807</v>
      </c>
      <c r="F2028" s="1202">
        <f t="shared" si="273"/>
        <v>67910</v>
      </c>
      <c r="G2028" s="1202">
        <f t="shared" si="273"/>
        <v>38527</v>
      </c>
      <c r="H2028" s="1201">
        <f t="shared" si="270"/>
        <v>0.56732439994109851</v>
      </c>
      <c r="I2028" s="1202">
        <f t="shared" si="273"/>
        <v>223614</v>
      </c>
      <c r="J2028" s="1202">
        <f t="shared" si="273"/>
        <v>164276</v>
      </c>
      <c r="K2028" s="855">
        <f t="shared" si="271"/>
        <v>0.73464094376917366</v>
      </c>
    </row>
    <row r="2029" spans="1:13" ht="24.95" customHeight="1">
      <c r="A2029" s="1147"/>
      <c r="B2029" s="1207" t="s">
        <v>4440</v>
      </c>
      <c r="C2029" s="1202">
        <f t="shared" ref="C2029:J2029" si="275">+C1839</f>
        <v>7</v>
      </c>
      <c r="D2029" s="1202">
        <f t="shared" si="275"/>
        <v>0</v>
      </c>
      <c r="E2029" s="1206">
        <f t="shared" si="274"/>
        <v>0</v>
      </c>
      <c r="F2029" s="1202">
        <f t="shared" si="275"/>
        <v>788</v>
      </c>
      <c r="G2029" s="1202">
        <f t="shared" si="275"/>
        <v>483</v>
      </c>
      <c r="H2029" s="1201">
        <f t="shared" si="270"/>
        <v>0.61294416243654826</v>
      </c>
      <c r="I2029" s="1202">
        <f t="shared" si="275"/>
        <v>795</v>
      </c>
      <c r="J2029" s="1202">
        <f t="shared" si="275"/>
        <v>483</v>
      </c>
      <c r="K2029" s="855">
        <f t="shared" si="271"/>
        <v>0.60754716981132073</v>
      </c>
    </row>
    <row r="2030" spans="1:13" ht="24.95" customHeight="1">
      <c r="A2030" s="1147"/>
      <c r="B2030" s="1207" t="s">
        <v>4441</v>
      </c>
      <c r="C2030" s="1170">
        <f t="shared" ref="C2030:J2030" si="276">+C2027+C2028+C2029</f>
        <v>155732</v>
      </c>
      <c r="D2030" s="1170">
        <f t="shared" si="276"/>
        <v>125749</v>
      </c>
      <c r="E2030" s="1206">
        <f t="shared" si="274"/>
        <v>0.80747052628875249</v>
      </c>
      <c r="F2030" s="1170">
        <f t="shared" si="276"/>
        <v>70596</v>
      </c>
      <c r="G2030" s="1170">
        <f t="shared" si="276"/>
        <v>39935</v>
      </c>
      <c r="H2030" s="1201">
        <f t="shared" si="270"/>
        <v>0.56568360813643837</v>
      </c>
      <c r="I2030" s="1170">
        <f t="shared" si="276"/>
        <v>226307</v>
      </c>
      <c r="J2030" s="1170">
        <f t="shared" si="276"/>
        <v>165684</v>
      </c>
      <c r="K2030" s="855">
        <f t="shared" si="271"/>
        <v>0.7321205265413796</v>
      </c>
    </row>
    <row r="2031" spans="1:13" ht="24.95" customHeight="1">
      <c r="A2031" s="2068" t="s">
        <v>4442</v>
      </c>
      <c r="B2031" s="2068"/>
      <c r="C2031" s="2068"/>
      <c r="D2031" s="2068"/>
      <c r="E2031" s="2068"/>
      <c r="F2031" s="2068"/>
      <c r="G2031" s="2068"/>
      <c r="H2031" s="2068"/>
      <c r="I2031" s="2068"/>
      <c r="J2031" s="2068"/>
      <c r="K2031" s="2068"/>
    </row>
    <row r="2032" spans="1:13" ht="24.95" customHeight="1">
      <c r="A2032" s="2069" t="s">
        <v>208</v>
      </c>
      <c r="B2032" s="2070"/>
      <c r="C2032" s="1968" t="s">
        <v>1852</v>
      </c>
      <c r="D2032" s="1969"/>
      <c r="E2032" s="1969"/>
      <c r="F2032" s="1969"/>
      <c r="G2032" s="1969"/>
      <c r="H2032" s="1969"/>
      <c r="I2032" s="1969"/>
      <c r="J2032" s="1969"/>
      <c r="K2032" s="1969"/>
      <c r="L2032" s="711"/>
      <c r="M2032" s="711"/>
    </row>
    <row r="2033" spans="1:13" ht="24.95" customHeight="1">
      <c r="A2033" s="2061" t="s">
        <v>209</v>
      </c>
      <c r="B2033" s="2062"/>
      <c r="C2033" s="1958" t="s">
        <v>2370</v>
      </c>
      <c r="D2033" s="1959"/>
      <c r="E2033" s="1959"/>
      <c r="F2033" s="1959"/>
      <c r="G2033" s="1959"/>
      <c r="H2033" s="1959"/>
      <c r="I2033" s="1959"/>
      <c r="J2033" s="1959"/>
      <c r="K2033" s="1959"/>
      <c r="L2033" s="711"/>
      <c r="M2033" s="711"/>
    </row>
    <row r="2034" spans="1:13" ht="24.95" customHeight="1">
      <c r="A2034" s="2061" t="s">
        <v>211</v>
      </c>
      <c r="B2034" s="2062"/>
      <c r="C2034" s="1960" t="s">
        <v>1812</v>
      </c>
      <c r="D2034" s="1961"/>
      <c r="E2034" s="1961"/>
      <c r="F2034" s="1961"/>
      <c r="G2034" s="1961"/>
      <c r="H2034" s="1961"/>
      <c r="I2034" s="1961"/>
      <c r="J2034" s="1961"/>
      <c r="K2034" s="1961"/>
      <c r="L2034" s="711"/>
      <c r="M2034" s="711"/>
    </row>
    <row r="2035" spans="1:13" ht="24.95" customHeight="1">
      <c r="A2035" s="2061" t="s">
        <v>210</v>
      </c>
      <c r="B2035" s="2062"/>
      <c r="C2035" s="1962" t="s">
        <v>331</v>
      </c>
      <c r="D2035" s="1963"/>
      <c r="E2035" s="1963"/>
      <c r="F2035" s="1963"/>
      <c r="G2035" s="1963"/>
      <c r="H2035" s="1963"/>
      <c r="I2035" s="1963"/>
      <c r="J2035" s="1963"/>
      <c r="K2035" s="1963"/>
      <c r="L2035" s="711"/>
      <c r="M2035" s="711"/>
    </row>
    <row r="2036" spans="1:13" ht="24.95" customHeight="1">
      <c r="A2036" s="2059" t="s">
        <v>251</v>
      </c>
      <c r="B2036" s="2060"/>
      <c r="C2036" s="1954" t="s">
        <v>1839</v>
      </c>
      <c r="D2036" s="1946"/>
      <c r="E2036" s="1946"/>
      <c r="F2036" s="1946"/>
      <c r="G2036" s="1946"/>
      <c r="H2036" s="1946"/>
      <c r="I2036" s="1946"/>
      <c r="J2036" s="1946"/>
      <c r="K2036" s="1946"/>
      <c r="L2036" s="711"/>
      <c r="M2036" s="711"/>
    </row>
    <row r="2037" spans="1:13" ht="24.95" customHeight="1">
      <c r="A2037" s="1933" t="s">
        <v>122</v>
      </c>
      <c r="B2037" s="1933" t="s">
        <v>253</v>
      </c>
      <c r="C2037" s="1935" t="s">
        <v>2038</v>
      </c>
      <c r="D2037" s="1935"/>
      <c r="E2037" s="1935"/>
      <c r="F2037" s="1935" t="s">
        <v>2039</v>
      </c>
      <c r="G2037" s="1935"/>
      <c r="H2037" s="1935"/>
      <c r="I2037" s="1935" t="s">
        <v>90</v>
      </c>
      <c r="J2037" s="1935"/>
      <c r="K2037" s="1935"/>
      <c r="L2037" s="711"/>
      <c r="M2037" s="711"/>
    </row>
    <row r="2038" spans="1:13" ht="24.95" customHeight="1">
      <c r="A2038" s="1934"/>
      <c r="B2038" s="1934"/>
      <c r="C2038" s="545" t="s">
        <v>368</v>
      </c>
      <c r="D2038" s="547" t="s">
        <v>2040</v>
      </c>
      <c r="E2038" s="546" t="s">
        <v>2041</v>
      </c>
      <c r="F2038" s="545" t="s">
        <v>368</v>
      </c>
      <c r="G2038" s="547" t="s">
        <v>2040</v>
      </c>
      <c r="H2038" s="546" t="s">
        <v>2041</v>
      </c>
      <c r="I2038" s="545" t="s">
        <v>368</v>
      </c>
      <c r="J2038" s="547" t="s">
        <v>2040</v>
      </c>
      <c r="K2038" s="546" t="s">
        <v>2041</v>
      </c>
      <c r="L2038" s="711"/>
      <c r="M2038" s="711"/>
    </row>
    <row r="2039" spans="1:13" ht="24.95" customHeight="1">
      <c r="A2039" s="770"/>
      <c r="B2039" s="1209" t="s">
        <v>2673</v>
      </c>
      <c r="C2039" s="2054"/>
      <c r="D2039" s="2054"/>
      <c r="E2039" s="2054"/>
      <c r="F2039" s="2054"/>
      <c r="G2039" s="2054"/>
      <c r="H2039" s="2054"/>
      <c r="I2039" s="2054"/>
      <c r="J2039" s="2054"/>
      <c r="K2039" s="2054"/>
      <c r="L2039" s="711"/>
      <c r="M2039" s="711"/>
    </row>
    <row r="2040" spans="1:13" ht="24.95" customHeight="1">
      <c r="A2040" s="1210"/>
      <c r="B2040" s="1211" t="s">
        <v>4443</v>
      </c>
      <c r="C2040" s="2055"/>
      <c r="D2040" s="2055"/>
      <c r="E2040" s="2055"/>
      <c r="F2040" s="2055"/>
      <c r="G2040" s="2055"/>
      <c r="H2040" s="2055"/>
      <c r="I2040" s="2055"/>
      <c r="J2040" s="2055"/>
      <c r="K2040" s="2055"/>
      <c r="L2040" s="711"/>
      <c r="M2040" s="711"/>
    </row>
    <row r="2041" spans="1:13" ht="24.95" customHeight="1">
      <c r="A2041" s="456" t="s">
        <v>4444</v>
      </c>
      <c r="B2041" s="449" t="s">
        <v>4445</v>
      </c>
      <c r="C2041" s="1212"/>
      <c r="D2041" s="1212"/>
      <c r="E2041" s="1213" t="e">
        <f>+D2041/C2041</f>
        <v>#DIV/0!</v>
      </c>
      <c r="F2041" s="1214"/>
      <c r="G2041" s="1214"/>
      <c r="H2041" s="1215" t="e">
        <f>+G2041/F2041</f>
        <v>#DIV/0!</v>
      </c>
      <c r="I2041" s="1216">
        <f t="shared" ref="I2041:J2062" si="277">+C2041+F2041</f>
        <v>0</v>
      </c>
      <c r="J2041" s="860">
        <f>+D2041+G2041</f>
        <v>0</v>
      </c>
      <c r="K2041" s="1217" t="e">
        <f>+J2041/I2041</f>
        <v>#DIV/0!</v>
      </c>
      <c r="L2041" s="711"/>
      <c r="M2041" s="711"/>
    </row>
    <row r="2042" spans="1:13" ht="24.95" customHeight="1">
      <c r="A2042" s="1218" t="s">
        <v>4446</v>
      </c>
      <c r="B2042" s="1219" t="s">
        <v>4447</v>
      </c>
      <c r="C2042" s="1212"/>
      <c r="D2042" s="1212"/>
      <c r="E2042" s="1213" t="e">
        <f t="shared" ref="E2042:E2105" si="278">+D2042/C2042</f>
        <v>#DIV/0!</v>
      </c>
      <c r="F2042" s="1214">
        <v>5</v>
      </c>
      <c r="G2042" s="1214"/>
      <c r="H2042" s="1215">
        <f t="shared" ref="H2042:H2105" si="279">+G2042/F2042</f>
        <v>0</v>
      </c>
      <c r="I2042" s="1216">
        <f t="shared" si="277"/>
        <v>5</v>
      </c>
      <c r="J2042" s="860">
        <f t="shared" si="277"/>
        <v>0</v>
      </c>
      <c r="K2042" s="1217">
        <f t="shared" ref="K2042:K2105" si="280">+J2042/I2042</f>
        <v>0</v>
      </c>
      <c r="L2042" s="711"/>
      <c r="M2042" s="711"/>
    </row>
    <row r="2043" spans="1:13" ht="24.95" customHeight="1">
      <c r="A2043" s="1218" t="s">
        <v>2701</v>
      </c>
      <c r="B2043" s="1220" t="s">
        <v>2702</v>
      </c>
      <c r="C2043" s="1212"/>
      <c r="D2043" s="1212"/>
      <c r="E2043" s="1213" t="e">
        <f t="shared" si="278"/>
        <v>#DIV/0!</v>
      </c>
      <c r="F2043" s="1214">
        <v>0</v>
      </c>
      <c r="G2043" s="1214"/>
      <c r="H2043" s="1215" t="e">
        <f t="shared" si="279"/>
        <v>#DIV/0!</v>
      </c>
      <c r="I2043" s="1216">
        <f t="shared" si="277"/>
        <v>0</v>
      </c>
      <c r="J2043" s="860">
        <f t="shared" si="277"/>
        <v>0</v>
      </c>
      <c r="K2043" s="1217" t="e">
        <f t="shared" si="280"/>
        <v>#DIV/0!</v>
      </c>
      <c r="L2043" s="711"/>
      <c r="M2043" s="711"/>
    </row>
    <row r="2044" spans="1:13" ht="24.95" customHeight="1">
      <c r="A2044" s="1221" t="s">
        <v>4448</v>
      </c>
      <c r="B2044" s="1222" t="s">
        <v>4449</v>
      </c>
      <c r="C2044" s="1212"/>
      <c r="D2044" s="1212"/>
      <c r="E2044" s="1213" t="e">
        <f t="shared" si="278"/>
        <v>#DIV/0!</v>
      </c>
      <c r="F2044" s="1214"/>
      <c r="G2044" s="1214"/>
      <c r="H2044" s="1215" t="e">
        <f t="shared" si="279"/>
        <v>#DIV/0!</v>
      </c>
      <c r="I2044" s="1216">
        <f t="shared" si="277"/>
        <v>0</v>
      </c>
      <c r="J2044" s="860">
        <f t="shared" si="277"/>
        <v>0</v>
      </c>
      <c r="K2044" s="1217" t="e">
        <f t="shared" si="280"/>
        <v>#DIV/0!</v>
      </c>
      <c r="L2044" s="711"/>
      <c r="M2044" s="711"/>
    </row>
    <row r="2045" spans="1:13" ht="24.95" customHeight="1">
      <c r="A2045" s="1221" t="s">
        <v>4450</v>
      </c>
      <c r="B2045" s="1222" t="s">
        <v>4451</v>
      </c>
      <c r="C2045" s="1212"/>
      <c r="D2045" s="1212"/>
      <c r="E2045" s="1213" t="e">
        <f t="shared" si="278"/>
        <v>#DIV/0!</v>
      </c>
      <c r="F2045" s="1214"/>
      <c r="G2045" s="1214"/>
      <c r="H2045" s="1215" t="e">
        <f t="shared" si="279"/>
        <v>#DIV/0!</v>
      </c>
      <c r="I2045" s="1216">
        <f t="shared" si="277"/>
        <v>0</v>
      </c>
      <c r="J2045" s="860">
        <f t="shared" si="277"/>
        <v>0</v>
      </c>
      <c r="K2045" s="1217" t="e">
        <f t="shared" si="280"/>
        <v>#DIV/0!</v>
      </c>
      <c r="L2045" s="711"/>
      <c r="M2045" s="711"/>
    </row>
    <row r="2046" spans="1:13" ht="24.95" customHeight="1">
      <c r="A2046" s="1221" t="s">
        <v>4452</v>
      </c>
      <c r="B2046" s="1222" t="s">
        <v>4453</v>
      </c>
      <c r="C2046" s="1212"/>
      <c r="D2046" s="1212"/>
      <c r="E2046" s="1213" t="e">
        <f t="shared" si="278"/>
        <v>#DIV/0!</v>
      </c>
      <c r="F2046" s="1214"/>
      <c r="G2046" s="1214"/>
      <c r="H2046" s="1215" t="e">
        <f t="shared" si="279"/>
        <v>#DIV/0!</v>
      </c>
      <c r="I2046" s="1216">
        <f t="shared" si="277"/>
        <v>0</v>
      </c>
      <c r="J2046" s="860">
        <f t="shared" si="277"/>
        <v>0</v>
      </c>
      <c r="K2046" s="1217" t="e">
        <f t="shared" si="280"/>
        <v>#DIV/0!</v>
      </c>
      <c r="L2046" s="711"/>
      <c r="M2046" s="711"/>
    </row>
    <row r="2047" spans="1:13" ht="24.95" customHeight="1">
      <c r="A2047" s="1221" t="s">
        <v>4454</v>
      </c>
      <c r="B2047" s="1222" t="s">
        <v>4455</v>
      </c>
      <c r="C2047" s="1212"/>
      <c r="D2047" s="1212"/>
      <c r="E2047" s="1213" t="e">
        <f t="shared" si="278"/>
        <v>#DIV/0!</v>
      </c>
      <c r="F2047" s="1214"/>
      <c r="G2047" s="1214"/>
      <c r="H2047" s="1215" t="e">
        <f t="shared" si="279"/>
        <v>#DIV/0!</v>
      </c>
      <c r="I2047" s="1216">
        <f t="shared" si="277"/>
        <v>0</v>
      </c>
      <c r="J2047" s="860">
        <f t="shared" si="277"/>
        <v>0</v>
      </c>
      <c r="K2047" s="1217" t="e">
        <f t="shared" si="280"/>
        <v>#DIV/0!</v>
      </c>
      <c r="L2047" s="711"/>
      <c r="M2047" s="711"/>
    </row>
    <row r="2048" spans="1:13" ht="24.95" customHeight="1">
      <c r="A2048" s="1223" t="s">
        <v>4456</v>
      </c>
      <c r="B2048" s="1224" t="s">
        <v>4457</v>
      </c>
      <c r="C2048" s="1212"/>
      <c r="D2048" s="1212"/>
      <c r="E2048" s="1213" t="e">
        <f t="shared" si="278"/>
        <v>#DIV/0!</v>
      </c>
      <c r="F2048" s="1214">
        <v>5</v>
      </c>
      <c r="G2048" s="1214"/>
      <c r="H2048" s="1215">
        <f t="shared" si="279"/>
        <v>0</v>
      </c>
      <c r="I2048" s="1216">
        <f t="shared" si="277"/>
        <v>5</v>
      </c>
      <c r="J2048" s="860">
        <f t="shared" si="277"/>
        <v>0</v>
      </c>
      <c r="K2048" s="1217">
        <f t="shared" si="280"/>
        <v>0</v>
      </c>
      <c r="L2048" s="711"/>
      <c r="M2048" s="711"/>
    </row>
    <row r="2049" spans="1:13" ht="24.95" customHeight="1">
      <c r="A2049" s="1223" t="s">
        <v>4458</v>
      </c>
      <c r="B2049" s="1224" t="s">
        <v>4459</v>
      </c>
      <c r="C2049" s="1212"/>
      <c r="D2049" s="1212"/>
      <c r="E2049" s="1213" t="e">
        <f t="shared" si="278"/>
        <v>#DIV/0!</v>
      </c>
      <c r="F2049" s="1214">
        <v>0</v>
      </c>
      <c r="G2049" s="1214"/>
      <c r="H2049" s="1215" t="e">
        <f t="shared" si="279"/>
        <v>#DIV/0!</v>
      </c>
      <c r="I2049" s="1216">
        <f t="shared" si="277"/>
        <v>0</v>
      </c>
      <c r="J2049" s="860">
        <f t="shared" si="277"/>
        <v>0</v>
      </c>
      <c r="K2049" s="1217" t="e">
        <f t="shared" si="280"/>
        <v>#DIV/0!</v>
      </c>
      <c r="L2049" s="711"/>
      <c r="M2049" s="711"/>
    </row>
    <row r="2050" spans="1:13" ht="24.95" customHeight="1">
      <c r="A2050" s="456" t="s">
        <v>4460</v>
      </c>
      <c r="B2050" s="449" t="s">
        <v>4461</v>
      </c>
      <c r="C2050" s="1212"/>
      <c r="D2050" s="1212"/>
      <c r="E2050" s="1213" t="e">
        <f t="shared" si="278"/>
        <v>#DIV/0!</v>
      </c>
      <c r="F2050" s="1214">
        <v>0</v>
      </c>
      <c r="G2050" s="1214"/>
      <c r="H2050" s="1215" t="e">
        <f t="shared" si="279"/>
        <v>#DIV/0!</v>
      </c>
      <c r="I2050" s="1216">
        <f t="shared" si="277"/>
        <v>0</v>
      </c>
      <c r="J2050" s="860">
        <f t="shared" si="277"/>
        <v>0</v>
      </c>
      <c r="K2050" s="1217" t="e">
        <f t="shared" si="280"/>
        <v>#DIV/0!</v>
      </c>
      <c r="L2050" s="711"/>
      <c r="M2050" s="711"/>
    </row>
    <row r="2051" spans="1:13" ht="24.95" customHeight="1">
      <c r="A2051" s="456" t="s">
        <v>4462</v>
      </c>
      <c r="B2051" s="449" t="s">
        <v>4463</v>
      </c>
      <c r="C2051" s="1212"/>
      <c r="D2051" s="1212"/>
      <c r="E2051" s="1213" t="e">
        <f t="shared" si="278"/>
        <v>#DIV/0!</v>
      </c>
      <c r="F2051" s="1214"/>
      <c r="G2051" s="1214"/>
      <c r="H2051" s="1215" t="e">
        <f t="shared" si="279"/>
        <v>#DIV/0!</v>
      </c>
      <c r="I2051" s="1216">
        <f t="shared" si="277"/>
        <v>0</v>
      </c>
      <c r="J2051" s="860">
        <f t="shared" si="277"/>
        <v>0</v>
      </c>
      <c r="K2051" s="1217" t="e">
        <f t="shared" si="280"/>
        <v>#DIV/0!</v>
      </c>
      <c r="L2051" s="711"/>
      <c r="M2051" s="711"/>
    </row>
    <row r="2052" spans="1:13" ht="24.95" customHeight="1">
      <c r="A2052" s="456" t="s">
        <v>4464</v>
      </c>
      <c r="B2052" s="449" t="s">
        <v>4465</v>
      </c>
      <c r="C2052" s="1212"/>
      <c r="D2052" s="1212"/>
      <c r="E2052" s="1213" t="e">
        <f t="shared" si="278"/>
        <v>#DIV/0!</v>
      </c>
      <c r="F2052" s="1214"/>
      <c r="G2052" s="1214"/>
      <c r="H2052" s="1215" t="e">
        <f t="shared" si="279"/>
        <v>#DIV/0!</v>
      </c>
      <c r="I2052" s="1216">
        <f t="shared" si="277"/>
        <v>0</v>
      </c>
      <c r="J2052" s="860">
        <f t="shared" si="277"/>
        <v>0</v>
      </c>
      <c r="K2052" s="1217" t="e">
        <f t="shared" si="280"/>
        <v>#DIV/0!</v>
      </c>
      <c r="L2052" s="711"/>
      <c r="M2052" s="711"/>
    </row>
    <row r="2053" spans="1:13" ht="24.95" customHeight="1">
      <c r="A2053" s="456" t="s">
        <v>4466</v>
      </c>
      <c r="B2053" s="449" t="s">
        <v>4467</v>
      </c>
      <c r="C2053" s="1212"/>
      <c r="D2053" s="1212"/>
      <c r="E2053" s="1213" t="e">
        <f t="shared" si="278"/>
        <v>#DIV/0!</v>
      </c>
      <c r="F2053" s="1214"/>
      <c r="G2053" s="1214"/>
      <c r="H2053" s="1215" t="e">
        <f t="shared" si="279"/>
        <v>#DIV/0!</v>
      </c>
      <c r="I2053" s="1216">
        <f t="shared" si="277"/>
        <v>0</v>
      </c>
      <c r="J2053" s="860">
        <f t="shared" si="277"/>
        <v>0</v>
      </c>
      <c r="K2053" s="1217" t="e">
        <f t="shared" si="280"/>
        <v>#DIV/0!</v>
      </c>
      <c r="L2053" s="711"/>
      <c r="M2053" s="711"/>
    </row>
    <row r="2054" spans="1:13" ht="24.95" customHeight="1">
      <c r="A2054" s="456" t="s">
        <v>4468</v>
      </c>
      <c r="B2054" s="449" t="s">
        <v>4469</v>
      </c>
      <c r="C2054" s="1212"/>
      <c r="D2054" s="1212"/>
      <c r="E2054" s="1213" t="e">
        <f t="shared" si="278"/>
        <v>#DIV/0!</v>
      </c>
      <c r="F2054" s="1214"/>
      <c r="G2054" s="1214"/>
      <c r="H2054" s="1215" t="e">
        <f t="shared" si="279"/>
        <v>#DIV/0!</v>
      </c>
      <c r="I2054" s="1216">
        <f t="shared" si="277"/>
        <v>0</v>
      </c>
      <c r="J2054" s="860">
        <f t="shared" si="277"/>
        <v>0</v>
      </c>
      <c r="K2054" s="1217" t="e">
        <f t="shared" si="280"/>
        <v>#DIV/0!</v>
      </c>
      <c r="L2054" s="711"/>
      <c r="M2054" s="711"/>
    </row>
    <row r="2055" spans="1:13" ht="24.95" customHeight="1">
      <c r="A2055" s="456" t="s">
        <v>4470</v>
      </c>
      <c r="B2055" s="449" t="s">
        <v>4471</v>
      </c>
      <c r="C2055" s="1212"/>
      <c r="D2055" s="1212"/>
      <c r="E2055" s="1213" t="e">
        <f t="shared" si="278"/>
        <v>#DIV/0!</v>
      </c>
      <c r="F2055" s="1214"/>
      <c r="G2055" s="1214"/>
      <c r="H2055" s="1215" t="e">
        <f t="shared" si="279"/>
        <v>#DIV/0!</v>
      </c>
      <c r="I2055" s="1216">
        <f t="shared" si="277"/>
        <v>0</v>
      </c>
      <c r="J2055" s="860">
        <f t="shared" si="277"/>
        <v>0</v>
      </c>
      <c r="K2055" s="1217" t="e">
        <f t="shared" si="280"/>
        <v>#DIV/0!</v>
      </c>
      <c r="L2055" s="711"/>
      <c r="M2055" s="711"/>
    </row>
    <row r="2056" spans="1:13" ht="24.95" customHeight="1">
      <c r="A2056" s="456" t="s">
        <v>4472</v>
      </c>
      <c r="B2056" s="1225" t="s">
        <v>4473</v>
      </c>
      <c r="C2056" s="1226">
        <v>1</v>
      </c>
      <c r="D2056" s="1226"/>
      <c r="E2056" s="1213">
        <f t="shared" si="278"/>
        <v>0</v>
      </c>
      <c r="F2056" s="1227"/>
      <c r="G2056" s="1227"/>
      <c r="H2056" s="1215" t="e">
        <f t="shared" si="279"/>
        <v>#DIV/0!</v>
      </c>
      <c r="I2056" s="1216">
        <f t="shared" si="277"/>
        <v>1</v>
      </c>
      <c r="J2056" s="860">
        <f t="shared" si="277"/>
        <v>0</v>
      </c>
      <c r="K2056" s="1217">
        <f t="shared" si="280"/>
        <v>0</v>
      </c>
      <c r="L2056" s="711"/>
      <c r="M2056" s="711"/>
    </row>
    <row r="2057" spans="1:13" ht="24.95" customHeight="1">
      <c r="A2057" s="456" t="s">
        <v>4474</v>
      </c>
      <c r="B2057" s="1228" t="s">
        <v>4475</v>
      </c>
      <c r="C2057" s="1212"/>
      <c r="D2057" s="1212"/>
      <c r="E2057" s="1213" t="e">
        <f t="shared" si="278"/>
        <v>#DIV/0!</v>
      </c>
      <c r="F2057" s="1214"/>
      <c r="G2057" s="1214"/>
      <c r="H2057" s="1215" t="e">
        <f t="shared" si="279"/>
        <v>#DIV/0!</v>
      </c>
      <c r="I2057" s="1216">
        <f t="shared" si="277"/>
        <v>0</v>
      </c>
      <c r="J2057" s="860">
        <f t="shared" si="277"/>
        <v>0</v>
      </c>
      <c r="K2057" s="1217" t="e">
        <f t="shared" si="280"/>
        <v>#DIV/0!</v>
      </c>
      <c r="L2057" s="711"/>
      <c r="M2057" s="711"/>
    </row>
    <row r="2058" spans="1:13" ht="24.95" customHeight="1">
      <c r="A2058" s="456" t="s">
        <v>4476</v>
      </c>
      <c r="B2058" s="1228" t="s">
        <v>4477</v>
      </c>
      <c r="C2058" s="1212"/>
      <c r="D2058" s="1212"/>
      <c r="E2058" s="1213" t="e">
        <f t="shared" si="278"/>
        <v>#DIV/0!</v>
      </c>
      <c r="F2058" s="1214"/>
      <c r="G2058" s="1214"/>
      <c r="H2058" s="1215" t="e">
        <f t="shared" si="279"/>
        <v>#DIV/0!</v>
      </c>
      <c r="I2058" s="1216">
        <f t="shared" si="277"/>
        <v>0</v>
      </c>
      <c r="J2058" s="860">
        <f t="shared" si="277"/>
        <v>0</v>
      </c>
      <c r="K2058" s="1217" t="e">
        <f t="shared" si="280"/>
        <v>#DIV/0!</v>
      </c>
      <c r="L2058" s="711"/>
      <c r="M2058" s="711"/>
    </row>
    <row r="2059" spans="1:13" ht="24.95" customHeight="1">
      <c r="A2059" s="456" t="s">
        <v>4478</v>
      </c>
      <c r="B2059" s="1228" t="s">
        <v>4479</v>
      </c>
      <c r="C2059" s="1212"/>
      <c r="D2059" s="1212"/>
      <c r="E2059" s="1213" t="e">
        <f t="shared" si="278"/>
        <v>#DIV/0!</v>
      </c>
      <c r="F2059" s="1214"/>
      <c r="G2059" s="1214"/>
      <c r="H2059" s="1215" t="e">
        <f t="shared" si="279"/>
        <v>#DIV/0!</v>
      </c>
      <c r="I2059" s="1216">
        <f t="shared" si="277"/>
        <v>0</v>
      </c>
      <c r="J2059" s="860">
        <f t="shared" si="277"/>
        <v>0</v>
      </c>
      <c r="K2059" s="1217" t="e">
        <f t="shared" si="280"/>
        <v>#DIV/0!</v>
      </c>
      <c r="L2059" s="711"/>
      <c r="M2059" s="711"/>
    </row>
    <row r="2060" spans="1:13" ht="24.95" customHeight="1">
      <c r="A2060" s="1229" t="s">
        <v>4480</v>
      </c>
      <c r="B2060" s="1230" t="s">
        <v>4481</v>
      </c>
      <c r="C2060" s="1231">
        <v>0</v>
      </c>
      <c r="D2060" s="1231"/>
      <c r="E2060" s="1213" t="e">
        <f t="shared" si="278"/>
        <v>#DIV/0!</v>
      </c>
      <c r="F2060" s="1232">
        <v>1</v>
      </c>
      <c r="G2060" s="1232"/>
      <c r="H2060" s="1215">
        <f t="shared" si="279"/>
        <v>0</v>
      </c>
      <c r="I2060" s="1216">
        <f t="shared" si="277"/>
        <v>1</v>
      </c>
      <c r="J2060" s="860">
        <f t="shared" si="277"/>
        <v>0</v>
      </c>
      <c r="K2060" s="1217">
        <f t="shared" si="280"/>
        <v>0</v>
      </c>
      <c r="L2060" s="711"/>
      <c r="M2060" s="711"/>
    </row>
    <row r="2061" spans="1:13" ht="24.95" customHeight="1">
      <c r="A2061" s="456" t="s">
        <v>4482</v>
      </c>
      <c r="B2061" s="449" t="s">
        <v>4483</v>
      </c>
      <c r="C2061" s="1212"/>
      <c r="D2061" s="1212"/>
      <c r="E2061" s="1213" t="e">
        <f t="shared" si="278"/>
        <v>#DIV/0!</v>
      </c>
      <c r="F2061" s="1214"/>
      <c r="G2061" s="1214"/>
      <c r="H2061" s="1215" t="e">
        <f t="shared" si="279"/>
        <v>#DIV/0!</v>
      </c>
      <c r="I2061" s="1216">
        <f t="shared" si="277"/>
        <v>0</v>
      </c>
      <c r="J2061" s="860">
        <f t="shared" si="277"/>
        <v>0</v>
      </c>
      <c r="K2061" s="1217" t="e">
        <f t="shared" si="280"/>
        <v>#DIV/0!</v>
      </c>
      <c r="L2061" s="711"/>
      <c r="M2061" s="711"/>
    </row>
    <row r="2062" spans="1:13" ht="24.95" customHeight="1">
      <c r="A2062" s="456" t="s">
        <v>4484</v>
      </c>
      <c r="B2062" s="449" t="s">
        <v>4485</v>
      </c>
      <c r="C2062" s="1212"/>
      <c r="D2062" s="1212"/>
      <c r="E2062" s="1213" t="e">
        <f t="shared" si="278"/>
        <v>#DIV/0!</v>
      </c>
      <c r="F2062" s="1214">
        <v>2</v>
      </c>
      <c r="G2062" s="1214"/>
      <c r="H2062" s="1215">
        <f t="shared" si="279"/>
        <v>0</v>
      </c>
      <c r="I2062" s="1216">
        <f t="shared" si="277"/>
        <v>2</v>
      </c>
      <c r="J2062" s="860">
        <f t="shared" si="277"/>
        <v>0</v>
      </c>
      <c r="K2062" s="1217">
        <f t="shared" si="280"/>
        <v>0</v>
      </c>
      <c r="L2062" s="711"/>
      <c r="M2062" s="711"/>
    </row>
    <row r="2063" spans="1:13" ht="24.95" customHeight="1">
      <c r="A2063" s="456" t="s">
        <v>4486</v>
      </c>
      <c r="B2063" s="452" t="s">
        <v>4487</v>
      </c>
      <c r="C2063" s="1212">
        <v>10</v>
      </c>
      <c r="D2063" s="1212">
        <v>5</v>
      </c>
      <c r="E2063" s="1213">
        <f t="shared" si="278"/>
        <v>0.5</v>
      </c>
      <c r="F2063" s="1214"/>
      <c r="G2063" s="1214"/>
      <c r="H2063" s="1215" t="e">
        <f t="shared" si="279"/>
        <v>#DIV/0!</v>
      </c>
      <c r="I2063" s="1216"/>
      <c r="J2063" s="860">
        <f t="shared" ref="J2063:J2126" si="281">+D2063+G2063</f>
        <v>5</v>
      </c>
      <c r="K2063" s="1217" t="e">
        <f t="shared" si="280"/>
        <v>#DIV/0!</v>
      </c>
      <c r="L2063" s="711"/>
      <c r="M2063" s="711"/>
    </row>
    <row r="2064" spans="1:13" ht="24.95" customHeight="1">
      <c r="A2064" s="456" t="s">
        <v>4488</v>
      </c>
      <c r="B2064" s="452" t="s">
        <v>4489</v>
      </c>
      <c r="C2064" s="1212">
        <v>5</v>
      </c>
      <c r="D2064" s="1212"/>
      <c r="E2064" s="1213">
        <f t="shared" si="278"/>
        <v>0</v>
      </c>
      <c r="F2064" s="1214">
        <v>1</v>
      </c>
      <c r="G2064" s="1214"/>
      <c r="H2064" s="1215">
        <f t="shared" si="279"/>
        <v>0</v>
      </c>
      <c r="I2064" s="1216">
        <f t="shared" ref="I2064:J2127" si="282">+C2064+F2064</f>
        <v>6</v>
      </c>
      <c r="J2064" s="860">
        <f t="shared" si="281"/>
        <v>0</v>
      </c>
      <c r="K2064" s="1217">
        <f t="shared" si="280"/>
        <v>0</v>
      </c>
      <c r="L2064" s="711"/>
      <c r="M2064" s="711"/>
    </row>
    <row r="2065" spans="1:13" ht="24.95" customHeight="1">
      <c r="A2065" s="1221" t="s">
        <v>4490</v>
      </c>
      <c r="B2065" s="1233" t="s">
        <v>4491</v>
      </c>
      <c r="C2065" s="1212">
        <v>1</v>
      </c>
      <c r="D2065" s="1212"/>
      <c r="E2065" s="1213">
        <f t="shared" si="278"/>
        <v>0</v>
      </c>
      <c r="F2065" s="1214">
        <v>1</v>
      </c>
      <c r="G2065" s="1214"/>
      <c r="H2065" s="1215">
        <f t="shared" si="279"/>
        <v>0</v>
      </c>
      <c r="I2065" s="1216">
        <f t="shared" si="282"/>
        <v>2</v>
      </c>
      <c r="J2065" s="860">
        <f t="shared" si="281"/>
        <v>0</v>
      </c>
      <c r="K2065" s="1217">
        <f t="shared" si="280"/>
        <v>0</v>
      </c>
      <c r="L2065" s="711"/>
      <c r="M2065" s="711"/>
    </row>
    <row r="2066" spans="1:13" ht="24.95" customHeight="1">
      <c r="A2066" s="1221" t="s">
        <v>4492</v>
      </c>
      <c r="B2066" s="1233" t="s">
        <v>4493</v>
      </c>
      <c r="C2066" s="1212"/>
      <c r="D2066" s="1212">
        <v>1</v>
      </c>
      <c r="E2066" s="1213" t="e">
        <f t="shared" si="278"/>
        <v>#DIV/0!</v>
      </c>
      <c r="F2066" s="1214">
        <v>1</v>
      </c>
      <c r="G2066" s="1214"/>
      <c r="H2066" s="1215">
        <f t="shared" si="279"/>
        <v>0</v>
      </c>
      <c r="I2066" s="1216">
        <f t="shared" si="282"/>
        <v>1</v>
      </c>
      <c r="J2066" s="860">
        <f t="shared" si="281"/>
        <v>1</v>
      </c>
      <c r="K2066" s="1217">
        <f t="shared" si="280"/>
        <v>1</v>
      </c>
      <c r="L2066" s="711"/>
      <c r="M2066" s="711"/>
    </row>
    <row r="2067" spans="1:13" ht="24.95" customHeight="1">
      <c r="A2067" s="1221" t="s">
        <v>4494</v>
      </c>
      <c r="B2067" s="1233" t="s">
        <v>4495</v>
      </c>
      <c r="C2067" s="1212"/>
      <c r="D2067" s="1212"/>
      <c r="E2067" s="1213" t="e">
        <f t="shared" si="278"/>
        <v>#DIV/0!</v>
      </c>
      <c r="F2067" s="1214">
        <v>10</v>
      </c>
      <c r="G2067" s="1214">
        <v>1</v>
      </c>
      <c r="H2067" s="1215">
        <f t="shared" si="279"/>
        <v>0.1</v>
      </c>
      <c r="I2067" s="1216">
        <f t="shared" si="282"/>
        <v>10</v>
      </c>
      <c r="J2067" s="860">
        <f t="shared" si="281"/>
        <v>1</v>
      </c>
      <c r="K2067" s="1217">
        <f t="shared" si="280"/>
        <v>0.1</v>
      </c>
      <c r="L2067" s="711"/>
      <c r="M2067" s="711"/>
    </row>
    <row r="2068" spans="1:13" ht="24.95" customHeight="1">
      <c r="A2068" s="1221" t="s">
        <v>4496</v>
      </c>
      <c r="B2068" s="1233" t="s">
        <v>4497</v>
      </c>
      <c r="C2068" s="1212"/>
      <c r="D2068" s="1212"/>
      <c r="E2068" s="1213" t="e">
        <f t="shared" si="278"/>
        <v>#DIV/0!</v>
      </c>
      <c r="F2068" s="1214">
        <v>2</v>
      </c>
      <c r="G2068" s="1214"/>
      <c r="H2068" s="1215">
        <f t="shared" si="279"/>
        <v>0</v>
      </c>
      <c r="I2068" s="1216">
        <f t="shared" si="282"/>
        <v>2</v>
      </c>
      <c r="J2068" s="860">
        <f t="shared" si="281"/>
        <v>0</v>
      </c>
      <c r="K2068" s="1217">
        <f t="shared" si="280"/>
        <v>0</v>
      </c>
      <c r="L2068" s="711"/>
      <c r="M2068" s="711"/>
    </row>
    <row r="2069" spans="1:13" ht="24.95" customHeight="1">
      <c r="A2069" s="456" t="s">
        <v>4498</v>
      </c>
      <c r="B2069" s="449" t="s">
        <v>4499</v>
      </c>
      <c r="C2069" s="1212"/>
      <c r="D2069" s="1212"/>
      <c r="E2069" s="1213" t="e">
        <f t="shared" si="278"/>
        <v>#DIV/0!</v>
      </c>
      <c r="F2069" s="1214"/>
      <c r="G2069" s="1214"/>
      <c r="H2069" s="1215" t="e">
        <f t="shared" si="279"/>
        <v>#DIV/0!</v>
      </c>
      <c r="I2069" s="1216">
        <f t="shared" si="282"/>
        <v>0</v>
      </c>
      <c r="J2069" s="860">
        <f t="shared" si="281"/>
        <v>0</v>
      </c>
      <c r="K2069" s="1217" t="e">
        <f t="shared" si="280"/>
        <v>#DIV/0!</v>
      </c>
      <c r="L2069" s="711"/>
      <c r="M2069" s="711"/>
    </row>
    <row r="2070" spans="1:13" ht="24.95" customHeight="1">
      <c r="A2070" s="456" t="s">
        <v>4500</v>
      </c>
      <c r="B2070" s="449" t="s">
        <v>4501</v>
      </c>
      <c r="C2070" s="1212"/>
      <c r="D2070" s="1212"/>
      <c r="E2070" s="1213" t="e">
        <f t="shared" si="278"/>
        <v>#DIV/0!</v>
      </c>
      <c r="F2070" s="1214"/>
      <c r="G2070" s="1214"/>
      <c r="H2070" s="1215" t="e">
        <f t="shared" si="279"/>
        <v>#DIV/0!</v>
      </c>
      <c r="I2070" s="1216">
        <f t="shared" si="282"/>
        <v>0</v>
      </c>
      <c r="J2070" s="860">
        <f t="shared" si="281"/>
        <v>0</v>
      </c>
      <c r="K2070" s="1217" t="e">
        <f t="shared" si="280"/>
        <v>#DIV/0!</v>
      </c>
      <c r="L2070" s="711"/>
      <c r="M2070" s="711"/>
    </row>
    <row r="2071" spans="1:13" ht="24.95" customHeight="1">
      <c r="A2071" s="456" t="s">
        <v>4502</v>
      </c>
      <c r="B2071" s="449" t="s">
        <v>4503</v>
      </c>
      <c r="C2071" s="1212"/>
      <c r="D2071" s="1212"/>
      <c r="E2071" s="1213" t="e">
        <f t="shared" si="278"/>
        <v>#DIV/0!</v>
      </c>
      <c r="F2071" s="1214"/>
      <c r="G2071" s="1214"/>
      <c r="H2071" s="1215" t="e">
        <f t="shared" si="279"/>
        <v>#DIV/0!</v>
      </c>
      <c r="I2071" s="1216">
        <f t="shared" si="282"/>
        <v>0</v>
      </c>
      <c r="J2071" s="860">
        <f t="shared" si="281"/>
        <v>0</v>
      </c>
      <c r="K2071" s="1217" t="e">
        <f t="shared" si="280"/>
        <v>#DIV/0!</v>
      </c>
      <c r="L2071" s="711"/>
      <c r="M2071" s="711"/>
    </row>
    <row r="2072" spans="1:13" ht="24.95" customHeight="1">
      <c r="A2072" s="456" t="s">
        <v>4504</v>
      </c>
      <c r="B2072" s="449" t="s">
        <v>4505</v>
      </c>
      <c r="C2072" s="1212"/>
      <c r="D2072" s="1212"/>
      <c r="E2072" s="1213" t="e">
        <f t="shared" si="278"/>
        <v>#DIV/0!</v>
      </c>
      <c r="F2072" s="1214"/>
      <c r="G2072" s="1214"/>
      <c r="H2072" s="1215" t="e">
        <f t="shared" si="279"/>
        <v>#DIV/0!</v>
      </c>
      <c r="I2072" s="1216">
        <f t="shared" si="282"/>
        <v>0</v>
      </c>
      <c r="J2072" s="860">
        <f t="shared" si="281"/>
        <v>0</v>
      </c>
      <c r="K2072" s="1217" t="e">
        <f t="shared" si="280"/>
        <v>#DIV/0!</v>
      </c>
      <c r="L2072" s="711"/>
      <c r="M2072" s="711"/>
    </row>
    <row r="2073" spans="1:13" ht="24.95" customHeight="1">
      <c r="A2073" s="456" t="s">
        <v>4506</v>
      </c>
      <c r="B2073" s="449" t="s">
        <v>4507</v>
      </c>
      <c r="C2073" s="1212"/>
      <c r="D2073" s="1212"/>
      <c r="E2073" s="1213" t="e">
        <f t="shared" si="278"/>
        <v>#DIV/0!</v>
      </c>
      <c r="F2073" s="1214"/>
      <c r="G2073" s="1214"/>
      <c r="H2073" s="1215" t="e">
        <f t="shared" si="279"/>
        <v>#DIV/0!</v>
      </c>
      <c r="I2073" s="1216">
        <f t="shared" si="282"/>
        <v>0</v>
      </c>
      <c r="J2073" s="860">
        <f t="shared" si="281"/>
        <v>0</v>
      </c>
      <c r="K2073" s="1217" t="e">
        <f t="shared" si="280"/>
        <v>#DIV/0!</v>
      </c>
      <c r="L2073" s="711"/>
      <c r="M2073" s="711"/>
    </row>
    <row r="2074" spans="1:13" ht="24.95" customHeight="1">
      <c r="A2074" s="456" t="s">
        <v>4508</v>
      </c>
      <c r="B2074" s="449" t="s">
        <v>4509</v>
      </c>
      <c r="C2074" s="1212"/>
      <c r="D2074" s="1212"/>
      <c r="E2074" s="1213" t="e">
        <f t="shared" si="278"/>
        <v>#DIV/0!</v>
      </c>
      <c r="F2074" s="1214"/>
      <c r="G2074" s="1214"/>
      <c r="H2074" s="1215" t="e">
        <f t="shared" si="279"/>
        <v>#DIV/0!</v>
      </c>
      <c r="I2074" s="1216">
        <f t="shared" si="282"/>
        <v>0</v>
      </c>
      <c r="J2074" s="860">
        <f t="shared" si="281"/>
        <v>0</v>
      </c>
      <c r="K2074" s="1217" t="e">
        <f t="shared" si="280"/>
        <v>#DIV/0!</v>
      </c>
      <c r="L2074" s="711"/>
      <c r="M2074" s="711"/>
    </row>
    <row r="2075" spans="1:13" ht="24.95" customHeight="1">
      <c r="A2075" s="456" t="s">
        <v>4510</v>
      </c>
      <c r="B2075" s="449" t="s">
        <v>4511</v>
      </c>
      <c r="C2075" s="1212"/>
      <c r="D2075" s="1212"/>
      <c r="E2075" s="1213" t="e">
        <f t="shared" si="278"/>
        <v>#DIV/0!</v>
      </c>
      <c r="F2075" s="1214">
        <v>2</v>
      </c>
      <c r="G2075" s="1214">
        <v>2</v>
      </c>
      <c r="H2075" s="1215">
        <f t="shared" si="279"/>
        <v>1</v>
      </c>
      <c r="I2075" s="1216">
        <f t="shared" si="282"/>
        <v>2</v>
      </c>
      <c r="J2075" s="860">
        <f t="shared" si="281"/>
        <v>2</v>
      </c>
      <c r="K2075" s="1217">
        <f t="shared" si="280"/>
        <v>1</v>
      </c>
      <c r="L2075" s="711"/>
      <c r="M2075" s="711"/>
    </row>
    <row r="2076" spans="1:13" ht="24.95" customHeight="1">
      <c r="A2076" s="456" t="s">
        <v>4512</v>
      </c>
      <c r="B2076" s="449" t="s">
        <v>4513</v>
      </c>
      <c r="C2076" s="1212"/>
      <c r="D2076" s="1212"/>
      <c r="E2076" s="1213" t="e">
        <f t="shared" si="278"/>
        <v>#DIV/0!</v>
      </c>
      <c r="F2076" s="1214">
        <v>2</v>
      </c>
      <c r="G2076" s="1214"/>
      <c r="H2076" s="1215">
        <f t="shared" si="279"/>
        <v>0</v>
      </c>
      <c r="I2076" s="1216">
        <f t="shared" si="282"/>
        <v>2</v>
      </c>
      <c r="J2076" s="860">
        <f t="shared" si="281"/>
        <v>0</v>
      </c>
      <c r="K2076" s="1217">
        <f t="shared" si="280"/>
        <v>0</v>
      </c>
      <c r="L2076" s="711"/>
      <c r="M2076" s="711"/>
    </row>
    <row r="2077" spans="1:13" ht="24.95" customHeight="1">
      <c r="A2077" s="456" t="s">
        <v>4514</v>
      </c>
      <c r="B2077" s="449" t="s">
        <v>4515</v>
      </c>
      <c r="C2077" s="1212"/>
      <c r="D2077" s="1212"/>
      <c r="E2077" s="1213" t="e">
        <f t="shared" si="278"/>
        <v>#DIV/0!</v>
      </c>
      <c r="F2077" s="1214">
        <v>1</v>
      </c>
      <c r="G2077" s="1214"/>
      <c r="H2077" s="1215">
        <f t="shared" si="279"/>
        <v>0</v>
      </c>
      <c r="I2077" s="1216">
        <f t="shared" si="282"/>
        <v>1</v>
      </c>
      <c r="J2077" s="860">
        <f t="shared" si="281"/>
        <v>0</v>
      </c>
      <c r="K2077" s="1217">
        <f t="shared" si="280"/>
        <v>0</v>
      </c>
      <c r="L2077" s="711"/>
      <c r="M2077" s="711"/>
    </row>
    <row r="2078" spans="1:13" ht="24.95" customHeight="1">
      <c r="A2078" s="456" t="s">
        <v>4516</v>
      </c>
      <c r="B2078" s="449" t="s">
        <v>4517</v>
      </c>
      <c r="C2078" s="1212"/>
      <c r="D2078" s="1212"/>
      <c r="E2078" s="1213" t="e">
        <f t="shared" si="278"/>
        <v>#DIV/0!</v>
      </c>
      <c r="F2078" s="1214">
        <v>2</v>
      </c>
      <c r="G2078" s="1214">
        <v>1</v>
      </c>
      <c r="H2078" s="1215">
        <f t="shared" si="279"/>
        <v>0.5</v>
      </c>
      <c r="I2078" s="1216">
        <f t="shared" si="282"/>
        <v>2</v>
      </c>
      <c r="J2078" s="860">
        <f t="shared" si="281"/>
        <v>1</v>
      </c>
      <c r="K2078" s="1217">
        <f t="shared" si="280"/>
        <v>0.5</v>
      </c>
      <c r="L2078" s="711"/>
      <c r="M2078" s="711"/>
    </row>
    <row r="2079" spans="1:13" ht="24.95" customHeight="1">
      <c r="A2079" s="456" t="s">
        <v>4518</v>
      </c>
      <c r="B2079" s="449" t="s">
        <v>4519</v>
      </c>
      <c r="C2079" s="1212"/>
      <c r="D2079" s="1212"/>
      <c r="E2079" s="1213" t="e">
        <f t="shared" si="278"/>
        <v>#DIV/0!</v>
      </c>
      <c r="F2079" s="1214"/>
      <c r="G2079" s="1214"/>
      <c r="H2079" s="1215" t="e">
        <f t="shared" si="279"/>
        <v>#DIV/0!</v>
      </c>
      <c r="I2079" s="1216">
        <f t="shared" si="282"/>
        <v>0</v>
      </c>
      <c r="J2079" s="860">
        <f t="shared" si="281"/>
        <v>0</v>
      </c>
      <c r="K2079" s="1217" t="e">
        <f t="shared" si="280"/>
        <v>#DIV/0!</v>
      </c>
      <c r="L2079" s="711"/>
      <c r="M2079" s="711"/>
    </row>
    <row r="2080" spans="1:13" ht="24.95" customHeight="1">
      <c r="A2080" s="456" t="s">
        <v>4520</v>
      </c>
      <c r="B2080" s="449" t="s">
        <v>4521</v>
      </c>
      <c r="C2080" s="1212"/>
      <c r="D2080" s="1212"/>
      <c r="E2080" s="1213" t="e">
        <f t="shared" si="278"/>
        <v>#DIV/0!</v>
      </c>
      <c r="F2080" s="1214">
        <v>2</v>
      </c>
      <c r="G2080" s="1214"/>
      <c r="H2080" s="1215">
        <f t="shared" si="279"/>
        <v>0</v>
      </c>
      <c r="I2080" s="1216">
        <f t="shared" si="282"/>
        <v>2</v>
      </c>
      <c r="J2080" s="860">
        <f t="shared" si="281"/>
        <v>0</v>
      </c>
      <c r="K2080" s="1217">
        <f t="shared" si="280"/>
        <v>0</v>
      </c>
      <c r="L2080" s="711"/>
      <c r="M2080" s="711"/>
    </row>
    <row r="2081" spans="1:13" ht="24.95" customHeight="1">
      <c r="A2081" s="456" t="s">
        <v>4522</v>
      </c>
      <c r="B2081" s="449" t="s">
        <v>4523</v>
      </c>
      <c r="C2081" s="1212"/>
      <c r="D2081" s="1212"/>
      <c r="E2081" s="1213" t="e">
        <f t="shared" si="278"/>
        <v>#DIV/0!</v>
      </c>
      <c r="F2081" s="1214"/>
      <c r="G2081" s="1214"/>
      <c r="H2081" s="1215" t="e">
        <f t="shared" si="279"/>
        <v>#DIV/0!</v>
      </c>
      <c r="I2081" s="1216">
        <f t="shared" si="282"/>
        <v>0</v>
      </c>
      <c r="J2081" s="860">
        <f t="shared" si="281"/>
        <v>0</v>
      </c>
      <c r="K2081" s="1217" t="e">
        <f t="shared" si="280"/>
        <v>#DIV/0!</v>
      </c>
      <c r="L2081" s="711"/>
      <c r="M2081" s="711"/>
    </row>
    <row r="2082" spans="1:13" ht="24.95" customHeight="1">
      <c r="A2082" s="456" t="s">
        <v>4524</v>
      </c>
      <c r="B2082" s="449" t="s">
        <v>4525</v>
      </c>
      <c r="C2082" s="1212"/>
      <c r="D2082" s="1212"/>
      <c r="E2082" s="1213" t="e">
        <f t="shared" si="278"/>
        <v>#DIV/0!</v>
      </c>
      <c r="F2082" s="1214"/>
      <c r="G2082" s="1214"/>
      <c r="H2082" s="1215" t="e">
        <f t="shared" si="279"/>
        <v>#DIV/0!</v>
      </c>
      <c r="I2082" s="1216">
        <f t="shared" si="282"/>
        <v>0</v>
      </c>
      <c r="J2082" s="860">
        <f t="shared" si="281"/>
        <v>0</v>
      </c>
      <c r="K2082" s="1217" t="e">
        <f t="shared" si="280"/>
        <v>#DIV/0!</v>
      </c>
      <c r="L2082" s="711"/>
      <c r="M2082" s="711"/>
    </row>
    <row r="2083" spans="1:13" ht="24.95" customHeight="1">
      <c r="A2083" s="456" t="s">
        <v>4526</v>
      </c>
      <c r="B2083" s="449" t="s">
        <v>4527</v>
      </c>
      <c r="C2083" s="1212"/>
      <c r="D2083" s="1212"/>
      <c r="E2083" s="1213" t="e">
        <f t="shared" si="278"/>
        <v>#DIV/0!</v>
      </c>
      <c r="F2083" s="1214"/>
      <c r="G2083" s="1214"/>
      <c r="H2083" s="1215" t="e">
        <f t="shared" si="279"/>
        <v>#DIV/0!</v>
      </c>
      <c r="I2083" s="1216">
        <f t="shared" si="282"/>
        <v>0</v>
      </c>
      <c r="J2083" s="860">
        <f t="shared" si="281"/>
        <v>0</v>
      </c>
      <c r="K2083" s="1217" t="e">
        <f t="shared" si="280"/>
        <v>#DIV/0!</v>
      </c>
      <c r="L2083" s="711"/>
      <c r="M2083" s="711"/>
    </row>
    <row r="2084" spans="1:13" ht="24.95" customHeight="1">
      <c r="A2084" s="456" t="s">
        <v>4528</v>
      </c>
      <c r="B2084" s="449" t="s">
        <v>4529</v>
      </c>
      <c r="C2084" s="1212"/>
      <c r="D2084" s="1212"/>
      <c r="E2084" s="1213" t="e">
        <f t="shared" si="278"/>
        <v>#DIV/0!</v>
      </c>
      <c r="F2084" s="1214">
        <v>1</v>
      </c>
      <c r="G2084" s="1214"/>
      <c r="H2084" s="1215">
        <f t="shared" si="279"/>
        <v>0</v>
      </c>
      <c r="I2084" s="1216">
        <f t="shared" si="282"/>
        <v>1</v>
      </c>
      <c r="J2084" s="860">
        <f t="shared" si="281"/>
        <v>0</v>
      </c>
      <c r="K2084" s="1217">
        <f t="shared" si="280"/>
        <v>0</v>
      </c>
      <c r="L2084" s="711"/>
      <c r="M2084" s="711"/>
    </row>
    <row r="2085" spans="1:13" ht="24.95" customHeight="1">
      <c r="A2085" s="456" t="s">
        <v>4530</v>
      </c>
      <c r="B2085" s="449" t="s">
        <v>4531</v>
      </c>
      <c r="C2085" s="1212"/>
      <c r="D2085" s="1212"/>
      <c r="E2085" s="1213" t="e">
        <f t="shared" si="278"/>
        <v>#DIV/0!</v>
      </c>
      <c r="F2085" s="1214">
        <v>2</v>
      </c>
      <c r="G2085" s="1214">
        <v>2</v>
      </c>
      <c r="H2085" s="1215">
        <f t="shared" si="279"/>
        <v>1</v>
      </c>
      <c r="I2085" s="1216">
        <f t="shared" si="282"/>
        <v>2</v>
      </c>
      <c r="J2085" s="860">
        <f t="shared" si="281"/>
        <v>2</v>
      </c>
      <c r="K2085" s="1217">
        <f t="shared" si="280"/>
        <v>1</v>
      </c>
      <c r="L2085" s="711"/>
      <c r="M2085" s="711"/>
    </row>
    <row r="2086" spans="1:13" ht="24.95" customHeight="1">
      <c r="A2086" s="456" t="s">
        <v>4532</v>
      </c>
      <c r="B2086" s="449" t="s">
        <v>4533</v>
      </c>
      <c r="C2086" s="1212"/>
      <c r="D2086" s="1212"/>
      <c r="E2086" s="1213" t="e">
        <f t="shared" si="278"/>
        <v>#DIV/0!</v>
      </c>
      <c r="F2086" s="1214"/>
      <c r="G2086" s="1214"/>
      <c r="H2086" s="1215" t="e">
        <f t="shared" si="279"/>
        <v>#DIV/0!</v>
      </c>
      <c r="I2086" s="1216">
        <f t="shared" si="282"/>
        <v>0</v>
      </c>
      <c r="J2086" s="860">
        <f t="shared" si="281"/>
        <v>0</v>
      </c>
      <c r="K2086" s="1217" t="e">
        <f t="shared" si="280"/>
        <v>#DIV/0!</v>
      </c>
      <c r="L2086" s="711"/>
      <c r="M2086" s="711"/>
    </row>
    <row r="2087" spans="1:13" ht="24.95" customHeight="1">
      <c r="A2087" s="456" t="s">
        <v>4534</v>
      </c>
      <c r="B2087" s="449" t="s">
        <v>4535</v>
      </c>
      <c r="C2087" s="1212"/>
      <c r="D2087" s="1212"/>
      <c r="E2087" s="1213" t="e">
        <f t="shared" si="278"/>
        <v>#DIV/0!</v>
      </c>
      <c r="F2087" s="1214">
        <v>10</v>
      </c>
      <c r="G2087" s="1214">
        <v>2</v>
      </c>
      <c r="H2087" s="1215">
        <f t="shared" si="279"/>
        <v>0.2</v>
      </c>
      <c r="I2087" s="1216">
        <f t="shared" si="282"/>
        <v>10</v>
      </c>
      <c r="J2087" s="860">
        <f t="shared" si="281"/>
        <v>2</v>
      </c>
      <c r="K2087" s="1217">
        <f t="shared" si="280"/>
        <v>0.2</v>
      </c>
      <c r="L2087" s="711"/>
      <c r="M2087" s="711"/>
    </row>
    <row r="2088" spans="1:13" ht="24.95" customHeight="1">
      <c r="A2088" s="456" t="s">
        <v>4536</v>
      </c>
      <c r="B2088" s="449" t="s">
        <v>4537</v>
      </c>
      <c r="C2088" s="1212"/>
      <c r="D2088" s="1212"/>
      <c r="E2088" s="1213" t="e">
        <f t="shared" si="278"/>
        <v>#DIV/0!</v>
      </c>
      <c r="F2088" s="1214"/>
      <c r="G2088" s="1214"/>
      <c r="H2088" s="1215" t="e">
        <f t="shared" si="279"/>
        <v>#DIV/0!</v>
      </c>
      <c r="I2088" s="1216">
        <f t="shared" si="282"/>
        <v>0</v>
      </c>
      <c r="J2088" s="860">
        <f t="shared" si="281"/>
        <v>0</v>
      </c>
      <c r="K2088" s="1217" t="e">
        <f t="shared" si="280"/>
        <v>#DIV/0!</v>
      </c>
      <c r="L2088" s="711"/>
      <c r="M2088" s="711"/>
    </row>
    <row r="2089" spans="1:13" ht="24.95" customHeight="1">
      <c r="A2089" s="456" t="s">
        <v>4538</v>
      </c>
      <c r="B2089" s="449" t="s">
        <v>4539</v>
      </c>
      <c r="C2089" s="1212"/>
      <c r="D2089" s="1212"/>
      <c r="E2089" s="1213" t="e">
        <f t="shared" si="278"/>
        <v>#DIV/0!</v>
      </c>
      <c r="F2089" s="1214"/>
      <c r="G2089" s="1214"/>
      <c r="H2089" s="1215" t="e">
        <f t="shared" si="279"/>
        <v>#DIV/0!</v>
      </c>
      <c r="I2089" s="1216">
        <f t="shared" si="282"/>
        <v>0</v>
      </c>
      <c r="J2089" s="860">
        <f t="shared" si="281"/>
        <v>0</v>
      </c>
      <c r="K2089" s="1217" t="e">
        <f t="shared" si="280"/>
        <v>#DIV/0!</v>
      </c>
      <c r="L2089" s="711"/>
      <c r="M2089" s="711"/>
    </row>
    <row r="2090" spans="1:13" ht="24.95" customHeight="1">
      <c r="A2090" s="456" t="s">
        <v>4540</v>
      </c>
      <c r="B2090" s="449" t="s">
        <v>4541</v>
      </c>
      <c r="C2090" s="1212"/>
      <c r="D2090" s="1212"/>
      <c r="E2090" s="1213" t="e">
        <f t="shared" si="278"/>
        <v>#DIV/0!</v>
      </c>
      <c r="F2090" s="1214"/>
      <c r="G2090" s="1214"/>
      <c r="H2090" s="1215" t="e">
        <f t="shared" si="279"/>
        <v>#DIV/0!</v>
      </c>
      <c r="I2090" s="1216">
        <f t="shared" si="282"/>
        <v>0</v>
      </c>
      <c r="J2090" s="860">
        <f t="shared" si="281"/>
        <v>0</v>
      </c>
      <c r="K2090" s="1217" t="e">
        <f t="shared" si="280"/>
        <v>#DIV/0!</v>
      </c>
      <c r="L2090" s="711"/>
      <c r="M2090" s="711"/>
    </row>
    <row r="2091" spans="1:13" ht="24.95" customHeight="1">
      <c r="A2091" s="456" t="s">
        <v>4542</v>
      </c>
      <c r="B2091" s="449" t="s">
        <v>4543</v>
      </c>
      <c r="C2091" s="1212"/>
      <c r="D2091" s="1212"/>
      <c r="E2091" s="1213" t="e">
        <f t="shared" si="278"/>
        <v>#DIV/0!</v>
      </c>
      <c r="F2091" s="1214"/>
      <c r="G2091" s="1214"/>
      <c r="H2091" s="1215" t="e">
        <f t="shared" si="279"/>
        <v>#DIV/0!</v>
      </c>
      <c r="I2091" s="1216">
        <f t="shared" si="282"/>
        <v>0</v>
      </c>
      <c r="J2091" s="860">
        <f t="shared" si="281"/>
        <v>0</v>
      </c>
      <c r="K2091" s="1217" t="e">
        <f t="shared" si="280"/>
        <v>#DIV/0!</v>
      </c>
      <c r="L2091" s="711"/>
      <c r="M2091" s="711"/>
    </row>
    <row r="2092" spans="1:13" ht="24.95" customHeight="1">
      <c r="A2092" s="456" t="s">
        <v>4544</v>
      </c>
      <c r="B2092" s="449" t="s">
        <v>4545</v>
      </c>
      <c r="C2092" s="1212"/>
      <c r="D2092" s="1212"/>
      <c r="E2092" s="1213" t="e">
        <f t="shared" si="278"/>
        <v>#DIV/0!</v>
      </c>
      <c r="F2092" s="1214">
        <v>3</v>
      </c>
      <c r="G2092" s="1214"/>
      <c r="H2092" s="1215">
        <f t="shared" si="279"/>
        <v>0</v>
      </c>
      <c r="I2092" s="1216">
        <f t="shared" si="282"/>
        <v>3</v>
      </c>
      <c r="J2092" s="860">
        <f t="shared" si="281"/>
        <v>0</v>
      </c>
      <c r="K2092" s="1217">
        <f t="shared" si="280"/>
        <v>0</v>
      </c>
      <c r="L2092" s="711"/>
      <c r="M2092" s="711"/>
    </row>
    <row r="2093" spans="1:13" ht="24.95" customHeight="1">
      <c r="A2093" s="456" t="s">
        <v>4546</v>
      </c>
      <c r="B2093" s="449" t="s">
        <v>4547</v>
      </c>
      <c r="C2093" s="1212"/>
      <c r="D2093" s="1212"/>
      <c r="E2093" s="1213" t="e">
        <f t="shared" si="278"/>
        <v>#DIV/0!</v>
      </c>
      <c r="F2093" s="1214">
        <v>1</v>
      </c>
      <c r="G2093" s="1214"/>
      <c r="H2093" s="1215">
        <f t="shared" si="279"/>
        <v>0</v>
      </c>
      <c r="I2093" s="1216">
        <f t="shared" si="282"/>
        <v>1</v>
      </c>
      <c r="J2093" s="860">
        <f t="shared" si="281"/>
        <v>0</v>
      </c>
      <c r="K2093" s="1217">
        <f t="shared" si="280"/>
        <v>0</v>
      </c>
      <c r="L2093" s="711"/>
      <c r="M2093" s="711"/>
    </row>
    <row r="2094" spans="1:13" ht="24.95" customHeight="1">
      <c r="A2094" s="456" t="s">
        <v>4548</v>
      </c>
      <c r="B2094" s="449" t="s">
        <v>4549</v>
      </c>
      <c r="C2094" s="1212"/>
      <c r="D2094" s="1212"/>
      <c r="E2094" s="1213" t="e">
        <f t="shared" si="278"/>
        <v>#DIV/0!</v>
      </c>
      <c r="F2094" s="1214"/>
      <c r="G2094" s="1214"/>
      <c r="H2094" s="1215" t="e">
        <f t="shared" si="279"/>
        <v>#DIV/0!</v>
      </c>
      <c r="I2094" s="1216">
        <f t="shared" si="282"/>
        <v>0</v>
      </c>
      <c r="J2094" s="860">
        <f t="shared" si="281"/>
        <v>0</v>
      </c>
      <c r="K2094" s="1217" t="e">
        <f t="shared" si="280"/>
        <v>#DIV/0!</v>
      </c>
      <c r="L2094" s="711"/>
      <c r="M2094" s="711"/>
    </row>
    <row r="2095" spans="1:13" ht="24.95" customHeight="1">
      <c r="A2095" s="456" t="s">
        <v>4550</v>
      </c>
      <c r="B2095" s="449" t="s">
        <v>4551</v>
      </c>
      <c r="C2095" s="1212"/>
      <c r="D2095" s="1212"/>
      <c r="E2095" s="1213" t="e">
        <f t="shared" si="278"/>
        <v>#DIV/0!</v>
      </c>
      <c r="F2095" s="1214"/>
      <c r="G2095" s="1214"/>
      <c r="H2095" s="1215" t="e">
        <f t="shared" si="279"/>
        <v>#DIV/0!</v>
      </c>
      <c r="I2095" s="1216">
        <f t="shared" si="282"/>
        <v>0</v>
      </c>
      <c r="J2095" s="860">
        <f t="shared" si="281"/>
        <v>0</v>
      </c>
      <c r="K2095" s="1217" t="e">
        <f t="shared" si="280"/>
        <v>#DIV/0!</v>
      </c>
      <c r="L2095" s="711"/>
      <c r="M2095" s="711"/>
    </row>
    <row r="2096" spans="1:13" ht="24.95" customHeight="1">
      <c r="A2096" s="456" t="s">
        <v>4552</v>
      </c>
      <c r="B2096" s="449" t="s">
        <v>4553</v>
      </c>
      <c r="C2096" s="1212"/>
      <c r="D2096" s="1212"/>
      <c r="E2096" s="1213" t="e">
        <f t="shared" si="278"/>
        <v>#DIV/0!</v>
      </c>
      <c r="F2096" s="1214"/>
      <c r="G2096" s="1214"/>
      <c r="H2096" s="1215" t="e">
        <f t="shared" si="279"/>
        <v>#DIV/0!</v>
      </c>
      <c r="I2096" s="1216">
        <f t="shared" si="282"/>
        <v>0</v>
      </c>
      <c r="J2096" s="860">
        <f t="shared" si="281"/>
        <v>0</v>
      </c>
      <c r="K2096" s="1217" t="e">
        <f t="shared" si="280"/>
        <v>#DIV/0!</v>
      </c>
      <c r="L2096" s="711"/>
      <c r="M2096" s="711"/>
    </row>
    <row r="2097" spans="1:13" ht="24.95" customHeight="1">
      <c r="A2097" s="456" t="s">
        <v>4554</v>
      </c>
      <c r="B2097" s="449" t="s">
        <v>4555</v>
      </c>
      <c r="C2097" s="1212"/>
      <c r="D2097" s="1212"/>
      <c r="E2097" s="1213" t="e">
        <f t="shared" si="278"/>
        <v>#DIV/0!</v>
      </c>
      <c r="F2097" s="1214"/>
      <c r="G2097" s="1214"/>
      <c r="H2097" s="1215" t="e">
        <f t="shared" si="279"/>
        <v>#DIV/0!</v>
      </c>
      <c r="I2097" s="1216">
        <f t="shared" si="282"/>
        <v>0</v>
      </c>
      <c r="J2097" s="860">
        <f t="shared" si="281"/>
        <v>0</v>
      </c>
      <c r="K2097" s="1217" t="e">
        <f t="shared" si="280"/>
        <v>#DIV/0!</v>
      </c>
      <c r="L2097" s="711"/>
      <c r="M2097" s="711"/>
    </row>
    <row r="2098" spans="1:13" ht="24.95" customHeight="1">
      <c r="A2098" s="456" t="s">
        <v>4556</v>
      </c>
      <c r="B2098" s="449" t="s">
        <v>4557</v>
      </c>
      <c r="C2098" s="1212"/>
      <c r="D2098" s="1212"/>
      <c r="E2098" s="1213" t="e">
        <f t="shared" si="278"/>
        <v>#DIV/0!</v>
      </c>
      <c r="F2098" s="1214">
        <v>1</v>
      </c>
      <c r="G2098" s="1214"/>
      <c r="H2098" s="1215">
        <f t="shared" si="279"/>
        <v>0</v>
      </c>
      <c r="I2098" s="1216">
        <f t="shared" si="282"/>
        <v>1</v>
      </c>
      <c r="J2098" s="860">
        <f t="shared" si="281"/>
        <v>0</v>
      </c>
      <c r="K2098" s="1217">
        <f t="shared" si="280"/>
        <v>0</v>
      </c>
      <c r="L2098" s="711"/>
      <c r="M2098" s="711"/>
    </row>
    <row r="2099" spans="1:13" ht="24.95" customHeight="1">
      <c r="A2099" s="456" t="s">
        <v>4558</v>
      </c>
      <c r="B2099" s="449" t="s">
        <v>4559</v>
      </c>
      <c r="C2099" s="1212"/>
      <c r="D2099" s="1212"/>
      <c r="E2099" s="1213" t="e">
        <f t="shared" si="278"/>
        <v>#DIV/0!</v>
      </c>
      <c r="F2099" s="1214"/>
      <c r="G2099" s="1214"/>
      <c r="H2099" s="1215" t="e">
        <f t="shared" si="279"/>
        <v>#DIV/0!</v>
      </c>
      <c r="I2099" s="1216">
        <f t="shared" si="282"/>
        <v>0</v>
      </c>
      <c r="J2099" s="860">
        <f t="shared" si="281"/>
        <v>0</v>
      </c>
      <c r="K2099" s="1217" t="e">
        <f t="shared" si="280"/>
        <v>#DIV/0!</v>
      </c>
      <c r="L2099" s="711"/>
      <c r="M2099" s="711"/>
    </row>
    <row r="2100" spans="1:13" ht="24.95" customHeight="1">
      <c r="A2100" s="1234" t="s">
        <v>4560</v>
      </c>
      <c r="B2100" s="1224" t="s">
        <v>4561</v>
      </c>
      <c r="C2100" s="1212"/>
      <c r="D2100" s="1212"/>
      <c r="E2100" s="1213" t="e">
        <f t="shared" si="278"/>
        <v>#DIV/0!</v>
      </c>
      <c r="F2100" s="1214"/>
      <c r="G2100" s="1214"/>
      <c r="H2100" s="1215" t="e">
        <f t="shared" si="279"/>
        <v>#DIV/0!</v>
      </c>
      <c r="I2100" s="1216">
        <f t="shared" si="282"/>
        <v>0</v>
      </c>
      <c r="J2100" s="860">
        <f t="shared" si="281"/>
        <v>0</v>
      </c>
      <c r="K2100" s="1217" t="e">
        <f t="shared" si="280"/>
        <v>#DIV/0!</v>
      </c>
      <c r="L2100" s="711"/>
      <c r="M2100" s="711"/>
    </row>
    <row r="2101" spans="1:13" ht="24.95" customHeight="1">
      <c r="A2101" s="1235" t="s">
        <v>4562</v>
      </c>
      <c r="B2101" s="1236" t="s">
        <v>4563</v>
      </c>
      <c r="C2101" s="1212"/>
      <c r="D2101" s="1212"/>
      <c r="E2101" s="1213" t="e">
        <f t="shared" si="278"/>
        <v>#DIV/0!</v>
      </c>
      <c r="F2101" s="1214">
        <v>3</v>
      </c>
      <c r="G2101" s="1214"/>
      <c r="H2101" s="1215">
        <f t="shared" si="279"/>
        <v>0</v>
      </c>
      <c r="I2101" s="1216">
        <f t="shared" si="282"/>
        <v>3</v>
      </c>
      <c r="J2101" s="860">
        <f t="shared" si="281"/>
        <v>0</v>
      </c>
      <c r="K2101" s="1217">
        <f t="shared" si="280"/>
        <v>0</v>
      </c>
      <c r="L2101" s="711"/>
      <c r="M2101" s="711"/>
    </row>
    <row r="2102" spans="1:13" ht="24.95" customHeight="1">
      <c r="A2102" s="456" t="s">
        <v>4564</v>
      </c>
      <c r="B2102" s="449" t="s">
        <v>4565</v>
      </c>
      <c r="C2102" s="1212"/>
      <c r="D2102" s="1212"/>
      <c r="E2102" s="1213" t="e">
        <f t="shared" si="278"/>
        <v>#DIV/0!</v>
      </c>
      <c r="F2102" s="1214">
        <v>3</v>
      </c>
      <c r="G2102" s="1214"/>
      <c r="H2102" s="1215">
        <f t="shared" si="279"/>
        <v>0</v>
      </c>
      <c r="I2102" s="1216">
        <f t="shared" si="282"/>
        <v>3</v>
      </c>
      <c r="J2102" s="860">
        <f t="shared" si="281"/>
        <v>0</v>
      </c>
      <c r="K2102" s="1217">
        <f t="shared" si="280"/>
        <v>0</v>
      </c>
      <c r="L2102" s="711"/>
      <c r="M2102" s="711"/>
    </row>
    <row r="2103" spans="1:13" ht="24.95" customHeight="1">
      <c r="A2103" s="456" t="s">
        <v>4566</v>
      </c>
      <c r="B2103" s="449" t="s">
        <v>4567</v>
      </c>
      <c r="C2103" s="1212"/>
      <c r="D2103" s="1212"/>
      <c r="E2103" s="1213" t="e">
        <f t="shared" si="278"/>
        <v>#DIV/0!</v>
      </c>
      <c r="F2103" s="1214">
        <v>10</v>
      </c>
      <c r="G2103" s="1214">
        <v>3</v>
      </c>
      <c r="H2103" s="1215">
        <f t="shared" si="279"/>
        <v>0.3</v>
      </c>
      <c r="I2103" s="1216">
        <f t="shared" si="282"/>
        <v>10</v>
      </c>
      <c r="J2103" s="860">
        <f t="shared" si="281"/>
        <v>3</v>
      </c>
      <c r="K2103" s="1217">
        <f t="shared" si="280"/>
        <v>0.3</v>
      </c>
      <c r="L2103" s="711"/>
      <c r="M2103" s="711"/>
    </row>
    <row r="2104" spans="1:13" ht="24.95" customHeight="1">
      <c r="A2104" s="456" t="s">
        <v>4568</v>
      </c>
      <c r="B2104" s="449" t="s">
        <v>4569</v>
      </c>
      <c r="C2104" s="1212"/>
      <c r="D2104" s="1212"/>
      <c r="E2104" s="1213" t="e">
        <f t="shared" si="278"/>
        <v>#DIV/0!</v>
      </c>
      <c r="F2104" s="1214"/>
      <c r="G2104" s="1214"/>
      <c r="H2104" s="1215" t="e">
        <f t="shared" si="279"/>
        <v>#DIV/0!</v>
      </c>
      <c r="I2104" s="1216">
        <f t="shared" si="282"/>
        <v>0</v>
      </c>
      <c r="J2104" s="860">
        <f t="shared" si="281"/>
        <v>0</v>
      </c>
      <c r="K2104" s="1217" t="e">
        <f t="shared" si="280"/>
        <v>#DIV/0!</v>
      </c>
      <c r="L2104" s="711"/>
      <c r="M2104" s="711"/>
    </row>
    <row r="2105" spans="1:13" ht="24.95" customHeight="1">
      <c r="A2105" s="456" t="s">
        <v>4570</v>
      </c>
      <c r="B2105" s="449" t="s">
        <v>4571</v>
      </c>
      <c r="C2105" s="1212"/>
      <c r="D2105" s="1212"/>
      <c r="E2105" s="1213" t="e">
        <f t="shared" si="278"/>
        <v>#DIV/0!</v>
      </c>
      <c r="F2105" s="1214"/>
      <c r="G2105" s="1214"/>
      <c r="H2105" s="1215" t="e">
        <f t="shared" si="279"/>
        <v>#DIV/0!</v>
      </c>
      <c r="I2105" s="1216">
        <f t="shared" si="282"/>
        <v>0</v>
      </c>
      <c r="J2105" s="860">
        <f t="shared" si="281"/>
        <v>0</v>
      </c>
      <c r="K2105" s="1217" t="e">
        <f t="shared" si="280"/>
        <v>#DIV/0!</v>
      </c>
      <c r="L2105" s="711"/>
      <c r="M2105" s="711"/>
    </row>
    <row r="2106" spans="1:13" ht="24.95" customHeight="1">
      <c r="A2106" s="456" t="s">
        <v>4572</v>
      </c>
      <c r="B2106" s="449" t="s">
        <v>4573</v>
      </c>
      <c r="C2106" s="1212"/>
      <c r="D2106" s="1212"/>
      <c r="E2106" s="1213" t="e">
        <f t="shared" ref="E2106:E2169" si="283">+D2106/C2106</f>
        <v>#DIV/0!</v>
      </c>
      <c r="F2106" s="1214"/>
      <c r="G2106" s="1214"/>
      <c r="H2106" s="1215" t="e">
        <f t="shared" ref="H2106:H2169" si="284">+G2106/F2106</f>
        <v>#DIV/0!</v>
      </c>
      <c r="I2106" s="1216">
        <f t="shared" si="282"/>
        <v>0</v>
      </c>
      <c r="J2106" s="860">
        <f t="shared" si="281"/>
        <v>0</v>
      </c>
      <c r="K2106" s="1217" t="e">
        <f t="shared" ref="K2106:K2169" si="285">+J2106/I2106</f>
        <v>#DIV/0!</v>
      </c>
      <c r="L2106" s="711"/>
      <c r="M2106" s="711"/>
    </row>
    <row r="2107" spans="1:13" ht="24.95" customHeight="1">
      <c r="A2107" s="456" t="s">
        <v>4574</v>
      </c>
      <c r="B2107" s="449" t="s">
        <v>4575</v>
      </c>
      <c r="C2107" s="1212"/>
      <c r="D2107" s="1212"/>
      <c r="E2107" s="1213" t="e">
        <f t="shared" si="283"/>
        <v>#DIV/0!</v>
      </c>
      <c r="F2107" s="1214">
        <v>1</v>
      </c>
      <c r="G2107" s="1214"/>
      <c r="H2107" s="1215">
        <f t="shared" si="284"/>
        <v>0</v>
      </c>
      <c r="I2107" s="1216">
        <f t="shared" si="282"/>
        <v>1</v>
      </c>
      <c r="J2107" s="860">
        <f t="shared" si="281"/>
        <v>0</v>
      </c>
      <c r="K2107" s="1217">
        <f t="shared" si="285"/>
        <v>0</v>
      </c>
      <c r="L2107" s="711"/>
      <c r="M2107" s="711"/>
    </row>
    <row r="2108" spans="1:13" ht="24.95" customHeight="1">
      <c r="A2108" s="456" t="s">
        <v>4576</v>
      </c>
      <c r="B2108" s="449" t="s">
        <v>4577</v>
      </c>
      <c r="C2108" s="1212"/>
      <c r="D2108" s="1212"/>
      <c r="E2108" s="1213" t="e">
        <f t="shared" si="283"/>
        <v>#DIV/0!</v>
      </c>
      <c r="F2108" s="1214">
        <v>3</v>
      </c>
      <c r="G2108" s="1214"/>
      <c r="H2108" s="1215">
        <f t="shared" si="284"/>
        <v>0</v>
      </c>
      <c r="I2108" s="1216">
        <f t="shared" si="282"/>
        <v>3</v>
      </c>
      <c r="J2108" s="860">
        <f t="shared" si="281"/>
        <v>0</v>
      </c>
      <c r="K2108" s="1217">
        <f t="shared" si="285"/>
        <v>0</v>
      </c>
      <c r="L2108" s="711"/>
      <c r="M2108" s="711"/>
    </row>
    <row r="2109" spans="1:13" ht="24.95" customHeight="1">
      <c r="A2109" s="1223" t="s">
        <v>4578</v>
      </c>
      <c r="B2109" s="1224" t="s">
        <v>4579</v>
      </c>
      <c r="C2109" s="1212"/>
      <c r="D2109" s="1212"/>
      <c r="E2109" s="1213" t="e">
        <f t="shared" si="283"/>
        <v>#DIV/0!</v>
      </c>
      <c r="F2109" s="1214">
        <v>80</v>
      </c>
      <c r="G2109" s="1214">
        <v>22</v>
      </c>
      <c r="H2109" s="1215">
        <f t="shared" si="284"/>
        <v>0.27500000000000002</v>
      </c>
      <c r="I2109" s="1216">
        <f t="shared" si="282"/>
        <v>80</v>
      </c>
      <c r="J2109" s="860">
        <f t="shared" si="281"/>
        <v>22</v>
      </c>
      <c r="K2109" s="1217">
        <f t="shared" si="285"/>
        <v>0.27500000000000002</v>
      </c>
      <c r="L2109" s="711"/>
      <c r="M2109" s="711"/>
    </row>
    <row r="2110" spans="1:13" ht="24.95" customHeight="1">
      <c r="A2110" s="456" t="s">
        <v>4580</v>
      </c>
      <c r="B2110" s="449" t="s">
        <v>4581</v>
      </c>
      <c r="C2110" s="1212"/>
      <c r="D2110" s="1212"/>
      <c r="E2110" s="1213" t="e">
        <f t="shared" si="283"/>
        <v>#DIV/0!</v>
      </c>
      <c r="F2110" s="1214">
        <v>2</v>
      </c>
      <c r="G2110" s="1214"/>
      <c r="H2110" s="1215">
        <f t="shared" si="284"/>
        <v>0</v>
      </c>
      <c r="I2110" s="1216">
        <f t="shared" si="282"/>
        <v>2</v>
      </c>
      <c r="J2110" s="860">
        <f t="shared" si="281"/>
        <v>0</v>
      </c>
      <c r="K2110" s="1217">
        <f t="shared" si="285"/>
        <v>0</v>
      </c>
      <c r="L2110" s="711"/>
      <c r="M2110" s="711"/>
    </row>
    <row r="2111" spans="1:13" ht="24.95" customHeight="1">
      <c r="A2111" s="456" t="s">
        <v>4582</v>
      </c>
      <c r="B2111" s="449" t="s">
        <v>4583</v>
      </c>
      <c r="C2111" s="1212"/>
      <c r="D2111" s="1212"/>
      <c r="E2111" s="1213" t="e">
        <f t="shared" si="283"/>
        <v>#DIV/0!</v>
      </c>
      <c r="F2111" s="1214"/>
      <c r="G2111" s="1214"/>
      <c r="H2111" s="1215" t="e">
        <f t="shared" si="284"/>
        <v>#DIV/0!</v>
      </c>
      <c r="I2111" s="1216">
        <f t="shared" si="282"/>
        <v>0</v>
      </c>
      <c r="J2111" s="860">
        <f t="shared" si="281"/>
        <v>0</v>
      </c>
      <c r="K2111" s="1217" t="e">
        <f t="shared" si="285"/>
        <v>#DIV/0!</v>
      </c>
      <c r="L2111" s="711"/>
      <c r="M2111" s="711"/>
    </row>
    <row r="2112" spans="1:13" ht="24.95" customHeight="1">
      <c r="A2112" s="456" t="s">
        <v>4584</v>
      </c>
      <c r="B2112" s="449" t="s">
        <v>4585</v>
      </c>
      <c r="C2112" s="1212"/>
      <c r="D2112" s="1212"/>
      <c r="E2112" s="1213" t="e">
        <f t="shared" si="283"/>
        <v>#DIV/0!</v>
      </c>
      <c r="F2112" s="1214"/>
      <c r="G2112" s="1214"/>
      <c r="H2112" s="1215" t="e">
        <f t="shared" si="284"/>
        <v>#DIV/0!</v>
      </c>
      <c r="I2112" s="1216">
        <f t="shared" si="282"/>
        <v>0</v>
      </c>
      <c r="J2112" s="860">
        <f t="shared" si="281"/>
        <v>0</v>
      </c>
      <c r="K2112" s="1217" t="e">
        <f t="shared" si="285"/>
        <v>#DIV/0!</v>
      </c>
      <c r="L2112" s="711"/>
      <c r="M2112" s="711"/>
    </row>
    <row r="2113" spans="1:13" ht="24.95" customHeight="1">
      <c r="A2113" s="1223" t="s">
        <v>4586</v>
      </c>
      <c r="B2113" s="1224" t="s">
        <v>4587</v>
      </c>
      <c r="C2113" s="1212"/>
      <c r="D2113" s="1212"/>
      <c r="E2113" s="1213" t="e">
        <f t="shared" si="283"/>
        <v>#DIV/0!</v>
      </c>
      <c r="F2113" s="1214">
        <v>5</v>
      </c>
      <c r="G2113" s="1214"/>
      <c r="H2113" s="1215">
        <f t="shared" si="284"/>
        <v>0</v>
      </c>
      <c r="I2113" s="1216">
        <f t="shared" si="282"/>
        <v>5</v>
      </c>
      <c r="J2113" s="860">
        <f t="shared" si="281"/>
        <v>0</v>
      </c>
      <c r="K2113" s="1217">
        <f t="shared" si="285"/>
        <v>0</v>
      </c>
      <c r="L2113" s="711"/>
      <c r="M2113" s="711"/>
    </row>
    <row r="2114" spans="1:13" ht="24.95" customHeight="1">
      <c r="A2114" s="456" t="s">
        <v>4588</v>
      </c>
      <c r="B2114" s="449" t="s">
        <v>4589</v>
      </c>
      <c r="C2114" s="1212"/>
      <c r="D2114" s="1212"/>
      <c r="E2114" s="1213" t="e">
        <f t="shared" si="283"/>
        <v>#DIV/0!</v>
      </c>
      <c r="F2114" s="1214">
        <v>1</v>
      </c>
      <c r="G2114" s="1214"/>
      <c r="H2114" s="1215">
        <f t="shared" si="284"/>
        <v>0</v>
      </c>
      <c r="I2114" s="1216">
        <f t="shared" si="282"/>
        <v>1</v>
      </c>
      <c r="J2114" s="860">
        <f t="shared" si="281"/>
        <v>0</v>
      </c>
      <c r="K2114" s="1217">
        <f t="shared" si="285"/>
        <v>0</v>
      </c>
      <c r="L2114" s="711"/>
      <c r="M2114" s="711"/>
    </row>
    <row r="2115" spans="1:13" ht="24.95" customHeight="1">
      <c r="A2115" s="456" t="s">
        <v>4590</v>
      </c>
      <c r="B2115" s="449" t="s">
        <v>4591</v>
      </c>
      <c r="C2115" s="1212"/>
      <c r="D2115" s="1212"/>
      <c r="E2115" s="1213" t="e">
        <f t="shared" si="283"/>
        <v>#DIV/0!</v>
      </c>
      <c r="F2115" s="1214">
        <v>5</v>
      </c>
      <c r="G2115" s="1214">
        <v>1</v>
      </c>
      <c r="H2115" s="1215">
        <f t="shared" si="284"/>
        <v>0.2</v>
      </c>
      <c r="I2115" s="1216">
        <f t="shared" si="282"/>
        <v>5</v>
      </c>
      <c r="J2115" s="860">
        <f t="shared" si="281"/>
        <v>1</v>
      </c>
      <c r="K2115" s="1217">
        <f t="shared" si="285"/>
        <v>0.2</v>
      </c>
      <c r="L2115" s="711"/>
      <c r="M2115" s="711"/>
    </row>
    <row r="2116" spans="1:13" ht="24.95" customHeight="1">
      <c r="A2116" s="456" t="s">
        <v>4592</v>
      </c>
      <c r="B2116" s="449" t="s">
        <v>4593</v>
      </c>
      <c r="C2116" s="1212"/>
      <c r="D2116" s="1212"/>
      <c r="E2116" s="1213" t="e">
        <f t="shared" si="283"/>
        <v>#DIV/0!</v>
      </c>
      <c r="F2116" s="1214"/>
      <c r="G2116" s="1214"/>
      <c r="H2116" s="1215" t="e">
        <f t="shared" si="284"/>
        <v>#DIV/0!</v>
      </c>
      <c r="I2116" s="1216">
        <f t="shared" si="282"/>
        <v>0</v>
      </c>
      <c r="J2116" s="860">
        <f t="shared" si="281"/>
        <v>0</v>
      </c>
      <c r="K2116" s="1217" t="e">
        <f t="shared" si="285"/>
        <v>#DIV/0!</v>
      </c>
      <c r="L2116" s="711"/>
      <c r="M2116" s="711"/>
    </row>
    <row r="2117" spans="1:13" ht="24.95" customHeight="1">
      <c r="A2117" s="456" t="s">
        <v>4594</v>
      </c>
      <c r="B2117" s="449" t="s">
        <v>4595</v>
      </c>
      <c r="C2117" s="1212"/>
      <c r="D2117" s="1212"/>
      <c r="E2117" s="1213" t="e">
        <f t="shared" si="283"/>
        <v>#DIV/0!</v>
      </c>
      <c r="F2117" s="1214"/>
      <c r="G2117" s="1214"/>
      <c r="H2117" s="1215" t="e">
        <f t="shared" si="284"/>
        <v>#DIV/0!</v>
      </c>
      <c r="I2117" s="1216">
        <f t="shared" si="282"/>
        <v>0</v>
      </c>
      <c r="J2117" s="860">
        <f t="shared" si="281"/>
        <v>0</v>
      </c>
      <c r="K2117" s="1217" t="e">
        <f t="shared" si="285"/>
        <v>#DIV/0!</v>
      </c>
      <c r="L2117" s="711"/>
      <c r="M2117" s="711"/>
    </row>
    <row r="2118" spans="1:13" ht="24.95" customHeight="1">
      <c r="A2118" s="456" t="s">
        <v>4596</v>
      </c>
      <c r="B2118" s="449" t="s">
        <v>4597</v>
      </c>
      <c r="C2118" s="1212"/>
      <c r="D2118" s="1212"/>
      <c r="E2118" s="1213" t="e">
        <f t="shared" si="283"/>
        <v>#DIV/0!</v>
      </c>
      <c r="F2118" s="1214">
        <v>15</v>
      </c>
      <c r="G2118" s="1214">
        <v>2</v>
      </c>
      <c r="H2118" s="1215">
        <f t="shared" si="284"/>
        <v>0.13333333333333333</v>
      </c>
      <c r="I2118" s="1216">
        <f t="shared" si="282"/>
        <v>15</v>
      </c>
      <c r="J2118" s="860">
        <f t="shared" si="281"/>
        <v>2</v>
      </c>
      <c r="K2118" s="1217">
        <f t="shared" si="285"/>
        <v>0.13333333333333333</v>
      </c>
      <c r="L2118" s="711"/>
      <c r="M2118" s="711"/>
    </row>
    <row r="2119" spans="1:13" ht="24.95" customHeight="1">
      <c r="A2119" s="456" t="s">
        <v>4598</v>
      </c>
      <c r="B2119" s="449" t="s">
        <v>4599</v>
      </c>
      <c r="C2119" s="1212"/>
      <c r="D2119" s="1212"/>
      <c r="E2119" s="1213" t="e">
        <f t="shared" si="283"/>
        <v>#DIV/0!</v>
      </c>
      <c r="F2119" s="1214">
        <v>2</v>
      </c>
      <c r="G2119" s="1214"/>
      <c r="H2119" s="1215">
        <f t="shared" si="284"/>
        <v>0</v>
      </c>
      <c r="I2119" s="1216">
        <f t="shared" si="282"/>
        <v>2</v>
      </c>
      <c r="J2119" s="860">
        <f t="shared" si="281"/>
        <v>0</v>
      </c>
      <c r="K2119" s="1217">
        <f t="shared" si="285"/>
        <v>0</v>
      </c>
      <c r="L2119" s="711"/>
      <c r="M2119" s="711"/>
    </row>
    <row r="2120" spans="1:13" ht="24.95" customHeight="1">
      <c r="A2120" s="456" t="s">
        <v>4600</v>
      </c>
      <c r="B2120" s="449" t="s">
        <v>4601</v>
      </c>
      <c r="C2120" s="1212"/>
      <c r="D2120" s="1212"/>
      <c r="E2120" s="1213" t="e">
        <f t="shared" si="283"/>
        <v>#DIV/0!</v>
      </c>
      <c r="F2120" s="1214">
        <v>5</v>
      </c>
      <c r="G2120" s="1214">
        <v>6</v>
      </c>
      <c r="H2120" s="1215">
        <f t="shared" si="284"/>
        <v>1.2</v>
      </c>
      <c r="I2120" s="1216">
        <f t="shared" si="282"/>
        <v>5</v>
      </c>
      <c r="J2120" s="860">
        <f t="shared" si="281"/>
        <v>6</v>
      </c>
      <c r="K2120" s="1217">
        <f t="shared" si="285"/>
        <v>1.2</v>
      </c>
      <c r="L2120" s="711"/>
      <c r="M2120" s="711"/>
    </row>
    <row r="2121" spans="1:13" ht="24.95" customHeight="1">
      <c r="A2121" s="456" t="s">
        <v>4602</v>
      </c>
      <c r="B2121" s="449" t="s">
        <v>4603</v>
      </c>
      <c r="C2121" s="1212"/>
      <c r="D2121" s="1212"/>
      <c r="E2121" s="1213" t="e">
        <f t="shared" si="283"/>
        <v>#DIV/0!</v>
      </c>
      <c r="F2121" s="1214">
        <v>6</v>
      </c>
      <c r="G2121" s="1214">
        <v>5</v>
      </c>
      <c r="H2121" s="1215">
        <f t="shared" si="284"/>
        <v>0.83333333333333337</v>
      </c>
      <c r="I2121" s="1216">
        <f t="shared" si="282"/>
        <v>6</v>
      </c>
      <c r="J2121" s="860">
        <f t="shared" si="281"/>
        <v>5</v>
      </c>
      <c r="K2121" s="1217">
        <f t="shared" si="285"/>
        <v>0.83333333333333337</v>
      </c>
      <c r="L2121" s="711"/>
      <c r="M2121" s="711"/>
    </row>
    <row r="2122" spans="1:13" ht="24.95" customHeight="1">
      <c r="A2122" s="456" t="s">
        <v>4604</v>
      </c>
      <c r="B2122" s="449" t="s">
        <v>4605</v>
      </c>
      <c r="C2122" s="1212"/>
      <c r="D2122" s="1212"/>
      <c r="E2122" s="1213" t="e">
        <f t="shared" si="283"/>
        <v>#DIV/0!</v>
      </c>
      <c r="F2122" s="1214"/>
      <c r="G2122" s="1214"/>
      <c r="H2122" s="1215" t="e">
        <f t="shared" si="284"/>
        <v>#DIV/0!</v>
      </c>
      <c r="I2122" s="1216">
        <f t="shared" si="282"/>
        <v>0</v>
      </c>
      <c r="J2122" s="860">
        <f t="shared" si="281"/>
        <v>0</v>
      </c>
      <c r="K2122" s="1217" t="e">
        <f t="shared" si="285"/>
        <v>#DIV/0!</v>
      </c>
      <c r="L2122" s="711"/>
      <c r="M2122" s="711"/>
    </row>
    <row r="2123" spans="1:13" ht="24.95" customHeight="1">
      <c r="A2123" s="456" t="s">
        <v>4606</v>
      </c>
      <c r="B2123" s="449" t="s">
        <v>4607</v>
      </c>
      <c r="C2123" s="1212"/>
      <c r="D2123" s="1212"/>
      <c r="E2123" s="1213" t="e">
        <f t="shared" si="283"/>
        <v>#DIV/0!</v>
      </c>
      <c r="F2123" s="1214"/>
      <c r="G2123" s="1214"/>
      <c r="H2123" s="1215" t="e">
        <f t="shared" si="284"/>
        <v>#DIV/0!</v>
      </c>
      <c r="I2123" s="1216">
        <f t="shared" si="282"/>
        <v>0</v>
      </c>
      <c r="J2123" s="860">
        <f t="shared" si="281"/>
        <v>0</v>
      </c>
      <c r="K2123" s="1217" t="e">
        <f t="shared" si="285"/>
        <v>#DIV/0!</v>
      </c>
      <c r="L2123" s="711"/>
      <c r="M2123" s="711"/>
    </row>
    <row r="2124" spans="1:13" ht="24.95" customHeight="1">
      <c r="A2124" s="456" t="s">
        <v>4608</v>
      </c>
      <c r="B2124" s="449" t="s">
        <v>4609</v>
      </c>
      <c r="C2124" s="1212"/>
      <c r="D2124" s="1212"/>
      <c r="E2124" s="1213" t="e">
        <f t="shared" si="283"/>
        <v>#DIV/0!</v>
      </c>
      <c r="F2124" s="1214"/>
      <c r="G2124" s="1214"/>
      <c r="H2124" s="1215" t="e">
        <f t="shared" si="284"/>
        <v>#DIV/0!</v>
      </c>
      <c r="I2124" s="1216">
        <f t="shared" si="282"/>
        <v>0</v>
      </c>
      <c r="J2124" s="860">
        <f t="shared" si="281"/>
        <v>0</v>
      </c>
      <c r="K2124" s="1217" t="e">
        <f t="shared" si="285"/>
        <v>#DIV/0!</v>
      </c>
      <c r="L2124" s="711"/>
      <c r="M2124" s="711"/>
    </row>
    <row r="2125" spans="1:13" ht="24.95" customHeight="1">
      <c r="A2125" s="456" t="s">
        <v>4610</v>
      </c>
      <c r="B2125" s="449" t="s">
        <v>4611</v>
      </c>
      <c r="C2125" s="1212"/>
      <c r="D2125" s="1212"/>
      <c r="E2125" s="1213" t="e">
        <f t="shared" si="283"/>
        <v>#DIV/0!</v>
      </c>
      <c r="F2125" s="1214"/>
      <c r="G2125" s="1214"/>
      <c r="H2125" s="1215" t="e">
        <f t="shared" si="284"/>
        <v>#DIV/0!</v>
      </c>
      <c r="I2125" s="1216">
        <f t="shared" si="282"/>
        <v>0</v>
      </c>
      <c r="J2125" s="860">
        <f t="shared" si="281"/>
        <v>0</v>
      </c>
      <c r="K2125" s="1217" t="e">
        <f t="shared" si="285"/>
        <v>#DIV/0!</v>
      </c>
      <c r="L2125" s="711"/>
      <c r="M2125" s="711"/>
    </row>
    <row r="2126" spans="1:13" ht="24.95" customHeight="1">
      <c r="A2126" s="456" t="s">
        <v>4612</v>
      </c>
      <c r="B2126" s="449" t="s">
        <v>4613</v>
      </c>
      <c r="C2126" s="1212"/>
      <c r="D2126" s="1212"/>
      <c r="E2126" s="1213" t="e">
        <f t="shared" si="283"/>
        <v>#DIV/0!</v>
      </c>
      <c r="F2126" s="1214"/>
      <c r="G2126" s="1214"/>
      <c r="H2126" s="1215" t="e">
        <f t="shared" si="284"/>
        <v>#DIV/0!</v>
      </c>
      <c r="I2126" s="1216">
        <f t="shared" si="282"/>
        <v>0</v>
      </c>
      <c r="J2126" s="860">
        <f t="shared" si="281"/>
        <v>0</v>
      </c>
      <c r="K2126" s="1217" t="e">
        <f t="shared" si="285"/>
        <v>#DIV/0!</v>
      </c>
      <c r="L2126" s="711"/>
      <c r="M2126" s="711"/>
    </row>
    <row r="2127" spans="1:13" ht="24.95" customHeight="1">
      <c r="A2127" s="456" t="s">
        <v>4614</v>
      </c>
      <c r="B2127" s="449" t="s">
        <v>4615</v>
      </c>
      <c r="C2127" s="1212"/>
      <c r="D2127" s="1212"/>
      <c r="E2127" s="1213" t="e">
        <f t="shared" si="283"/>
        <v>#DIV/0!</v>
      </c>
      <c r="F2127" s="1214">
        <v>1</v>
      </c>
      <c r="G2127" s="1214"/>
      <c r="H2127" s="1215">
        <f t="shared" si="284"/>
        <v>0</v>
      </c>
      <c r="I2127" s="1216">
        <f t="shared" si="282"/>
        <v>1</v>
      </c>
      <c r="J2127" s="860">
        <f t="shared" si="282"/>
        <v>0</v>
      </c>
      <c r="K2127" s="1217">
        <f t="shared" si="285"/>
        <v>0</v>
      </c>
      <c r="L2127" s="711"/>
      <c r="M2127" s="711"/>
    </row>
    <row r="2128" spans="1:13" ht="24.95" customHeight="1">
      <c r="A2128" s="456" t="s">
        <v>4616</v>
      </c>
      <c r="B2128" s="449" t="s">
        <v>4617</v>
      </c>
      <c r="C2128" s="1212"/>
      <c r="D2128" s="1212"/>
      <c r="E2128" s="1213" t="e">
        <f t="shared" si="283"/>
        <v>#DIV/0!</v>
      </c>
      <c r="F2128" s="1214"/>
      <c r="G2128" s="1214"/>
      <c r="H2128" s="1215" t="e">
        <f t="shared" si="284"/>
        <v>#DIV/0!</v>
      </c>
      <c r="I2128" s="1216">
        <f t="shared" ref="I2128:J2143" si="286">+C2128+F2128</f>
        <v>0</v>
      </c>
      <c r="J2128" s="860">
        <f t="shared" si="286"/>
        <v>0</v>
      </c>
      <c r="K2128" s="1217" t="e">
        <f t="shared" si="285"/>
        <v>#DIV/0!</v>
      </c>
      <c r="L2128" s="711"/>
      <c r="M2128" s="711"/>
    </row>
    <row r="2129" spans="1:13" ht="24.95" customHeight="1">
      <c r="A2129" s="456" t="s">
        <v>4618</v>
      </c>
      <c r="B2129" s="449" t="s">
        <v>4619</v>
      </c>
      <c r="C2129" s="1212"/>
      <c r="D2129" s="1212"/>
      <c r="E2129" s="1213" t="e">
        <f t="shared" si="283"/>
        <v>#DIV/0!</v>
      </c>
      <c r="F2129" s="1214">
        <v>1</v>
      </c>
      <c r="G2129" s="1214"/>
      <c r="H2129" s="1215">
        <f t="shared" si="284"/>
        <v>0</v>
      </c>
      <c r="I2129" s="1216">
        <f t="shared" si="286"/>
        <v>1</v>
      </c>
      <c r="J2129" s="860">
        <f t="shared" si="286"/>
        <v>0</v>
      </c>
      <c r="K2129" s="1217">
        <f t="shared" si="285"/>
        <v>0</v>
      </c>
      <c r="L2129" s="711"/>
      <c r="M2129" s="711"/>
    </row>
    <row r="2130" spans="1:13" ht="24.95" customHeight="1">
      <c r="A2130" s="456" t="s">
        <v>4620</v>
      </c>
      <c r="B2130" s="449" t="s">
        <v>4621</v>
      </c>
      <c r="C2130" s="1212"/>
      <c r="D2130" s="1212"/>
      <c r="E2130" s="1213" t="e">
        <f t="shared" si="283"/>
        <v>#DIV/0!</v>
      </c>
      <c r="F2130" s="1214">
        <v>2</v>
      </c>
      <c r="G2130" s="1214">
        <v>1</v>
      </c>
      <c r="H2130" s="1215">
        <f t="shared" si="284"/>
        <v>0.5</v>
      </c>
      <c r="I2130" s="1216">
        <f t="shared" si="286"/>
        <v>2</v>
      </c>
      <c r="J2130" s="860">
        <f t="shared" si="286"/>
        <v>1</v>
      </c>
      <c r="K2130" s="1217">
        <f t="shared" si="285"/>
        <v>0.5</v>
      </c>
      <c r="L2130" s="711"/>
      <c r="M2130" s="711"/>
    </row>
    <row r="2131" spans="1:13" ht="24.95" customHeight="1">
      <c r="A2131" s="456" t="s">
        <v>4622</v>
      </c>
      <c r="B2131" s="449" t="s">
        <v>4623</v>
      </c>
      <c r="C2131" s="1212"/>
      <c r="D2131" s="1212"/>
      <c r="E2131" s="1213" t="e">
        <f t="shared" si="283"/>
        <v>#DIV/0!</v>
      </c>
      <c r="F2131" s="1214">
        <v>1</v>
      </c>
      <c r="G2131" s="1214"/>
      <c r="H2131" s="1215">
        <f t="shared" si="284"/>
        <v>0</v>
      </c>
      <c r="I2131" s="1216">
        <f t="shared" si="286"/>
        <v>1</v>
      </c>
      <c r="J2131" s="860">
        <f t="shared" si="286"/>
        <v>0</v>
      </c>
      <c r="K2131" s="1217">
        <f t="shared" si="285"/>
        <v>0</v>
      </c>
      <c r="L2131" s="711"/>
      <c r="M2131" s="711"/>
    </row>
    <row r="2132" spans="1:13" ht="24.95" customHeight="1">
      <c r="A2132" s="456" t="s">
        <v>4624</v>
      </c>
      <c r="B2132" s="452" t="s">
        <v>4625</v>
      </c>
      <c r="C2132" s="1226">
        <v>5</v>
      </c>
      <c r="D2132" s="1226"/>
      <c r="E2132" s="1213">
        <f t="shared" si="283"/>
        <v>0</v>
      </c>
      <c r="F2132" s="1227">
        <v>1</v>
      </c>
      <c r="G2132" s="1227"/>
      <c r="H2132" s="1215">
        <f t="shared" si="284"/>
        <v>0</v>
      </c>
      <c r="I2132" s="1216">
        <f t="shared" si="286"/>
        <v>6</v>
      </c>
      <c r="J2132" s="860">
        <f t="shared" si="286"/>
        <v>0</v>
      </c>
      <c r="K2132" s="1217">
        <f t="shared" si="285"/>
        <v>0</v>
      </c>
      <c r="L2132" s="711"/>
      <c r="M2132" s="711"/>
    </row>
    <row r="2133" spans="1:13" ht="24.95" customHeight="1">
      <c r="A2133" s="1234" t="s">
        <v>4626</v>
      </c>
      <c r="B2133" s="1224" t="s">
        <v>4627</v>
      </c>
      <c r="C2133" s="1214">
        <v>25</v>
      </c>
      <c r="D2133" s="1214">
        <v>10</v>
      </c>
      <c r="E2133" s="1213">
        <f t="shared" si="283"/>
        <v>0.4</v>
      </c>
      <c r="F2133" s="1214">
        <v>15</v>
      </c>
      <c r="G2133" s="1214">
        <v>5</v>
      </c>
      <c r="H2133" s="1215">
        <f t="shared" si="284"/>
        <v>0.33333333333333331</v>
      </c>
      <c r="I2133" s="1216">
        <f t="shared" si="286"/>
        <v>40</v>
      </c>
      <c r="J2133" s="860">
        <f t="shared" si="286"/>
        <v>15</v>
      </c>
      <c r="K2133" s="1217">
        <f t="shared" si="285"/>
        <v>0.375</v>
      </c>
      <c r="L2133" s="711"/>
      <c r="M2133" s="711"/>
    </row>
    <row r="2134" spans="1:13" ht="24.95" customHeight="1">
      <c r="A2134" s="456" t="s">
        <v>4628</v>
      </c>
      <c r="B2134" s="449" t="s">
        <v>4629</v>
      </c>
      <c r="C2134" s="1212"/>
      <c r="D2134" s="1212"/>
      <c r="E2134" s="1213" t="e">
        <f t="shared" si="283"/>
        <v>#DIV/0!</v>
      </c>
      <c r="F2134" s="1214">
        <v>1</v>
      </c>
      <c r="G2134" s="1214">
        <v>1</v>
      </c>
      <c r="H2134" s="1215">
        <f t="shared" si="284"/>
        <v>1</v>
      </c>
      <c r="I2134" s="1216">
        <f t="shared" si="286"/>
        <v>1</v>
      </c>
      <c r="J2134" s="860">
        <f t="shared" si="286"/>
        <v>1</v>
      </c>
      <c r="K2134" s="1217">
        <f t="shared" si="285"/>
        <v>1</v>
      </c>
      <c r="L2134" s="711"/>
      <c r="M2134" s="711"/>
    </row>
    <row r="2135" spans="1:13" ht="24.95" customHeight="1">
      <c r="A2135" s="456" t="s">
        <v>4630</v>
      </c>
      <c r="B2135" s="449" t="s">
        <v>4631</v>
      </c>
      <c r="C2135" s="1212"/>
      <c r="D2135" s="1212"/>
      <c r="E2135" s="1213" t="e">
        <f t="shared" si="283"/>
        <v>#DIV/0!</v>
      </c>
      <c r="F2135" s="1214">
        <v>5</v>
      </c>
      <c r="G2135" s="1214">
        <v>4</v>
      </c>
      <c r="H2135" s="1215">
        <f t="shared" si="284"/>
        <v>0.8</v>
      </c>
      <c r="I2135" s="1216">
        <f t="shared" si="286"/>
        <v>5</v>
      </c>
      <c r="J2135" s="860">
        <f t="shared" si="286"/>
        <v>4</v>
      </c>
      <c r="K2135" s="1217">
        <f t="shared" si="285"/>
        <v>0.8</v>
      </c>
      <c r="L2135" s="711"/>
      <c r="M2135" s="711"/>
    </row>
    <row r="2136" spans="1:13" ht="24.95" customHeight="1">
      <c r="A2136" s="456" t="s">
        <v>4632</v>
      </c>
      <c r="B2136" s="449" t="s">
        <v>4633</v>
      </c>
      <c r="C2136" s="1212"/>
      <c r="D2136" s="1212"/>
      <c r="E2136" s="1213" t="e">
        <f t="shared" si="283"/>
        <v>#DIV/0!</v>
      </c>
      <c r="F2136" s="1214">
        <v>2</v>
      </c>
      <c r="G2136" s="1214">
        <v>1</v>
      </c>
      <c r="H2136" s="1215">
        <f t="shared" si="284"/>
        <v>0.5</v>
      </c>
      <c r="I2136" s="1216">
        <f t="shared" si="286"/>
        <v>2</v>
      </c>
      <c r="J2136" s="860">
        <f t="shared" si="286"/>
        <v>1</v>
      </c>
      <c r="K2136" s="1217">
        <f t="shared" si="285"/>
        <v>0.5</v>
      </c>
      <c r="L2136" s="711"/>
      <c r="M2136" s="711"/>
    </row>
    <row r="2137" spans="1:13" ht="24.95" customHeight="1">
      <c r="A2137" s="1234" t="s">
        <v>4634</v>
      </c>
      <c r="B2137" s="1237" t="s">
        <v>4635</v>
      </c>
      <c r="C2137" s="1212"/>
      <c r="D2137" s="1212"/>
      <c r="E2137" s="1213" t="e">
        <f t="shared" si="283"/>
        <v>#DIV/0!</v>
      </c>
      <c r="F2137" s="1214">
        <v>2</v>
      </c>
      <c r="G2137" s="1214">
        <v>1</v>
      </c>
      <c r="H2137" s="1215">
        <f t="shared" si="284"/>
        <v>0.5</v>
      </c>
      <c r="I2137" s="1216">
        <f t="shared" si="286"/>
        <v>2</v>
      </c>
      <c r="J2137" s="860">
        <f t="shared" si="286"/>
        <v>1</v>
      </c>
      <c r="K2137" s="1217">
        <f t="shared" si="285"/>
        <v>0.5</v>
      </c>
      <c r="L2137" s="711"/>
      <c r="M2137" s="711"/>
    </row>
    <row r="2138" spans="1:13" ht="24.95" customHeight="1">
      <c r="A2138" s="456" t="s">
        <v>4636</v>
      </c>
      <c r="B2138" s="449" t="s">
        <v>4637</v>
      </c>
      <c r="C2138" s="1212"/>
      <c r="D2138" s="1212"/>
      <c r="E2138" s="1213" t="e">
        <f t="shared" si="283"/>
        <v>#DIV/0!</v>
      </c>
      <c r="F2138" s="1214"/>
      <c r="G2138" s="1214">
        <v>1</v>
      </c>
      <c r="H2138" s="1215" t="e">
        <f t="shared" si="284"/>
        <v>#DIV/0!</v>
      </c>
      <c r="I2138" s="1216">
        <f t="shared" si="286"/>
        <v>0</v>
      </c>
      <c r="J2138" s="860">
        <f t="shared" si="286"/>
        <v>1</v>
      </c>
      <c r="K2138" s="1217" t="e">
        <f t="shared" si="285"/>
        <v>#DIV/0!</v>
      </c>
      <c r="L2138" s="711"/>
      <c r="M2138" s="711"/>
    </row>
    <row r="2139" spans="1:13" ht="24.95" customHeight="1">
      <c r="A2139" s="456" t="s">
        <v>4638</v>
      </c>
      <c r="B2139" s="449" t="s">
        <v>4639</v>
      </c>
      <c r="C2139" s="1212"/>
      <c r="D2139" s="1212"/>
      <c r="E2139" s="1213" t="e">
        <f t="shared" si="283"/>
        <v>#DIV/0!</v>
      </c>
      <c r="F2139" s="1214"/>
      <c r="G2139" s="1214"/>
      <c r="H2139" s="1215" t="e">
        <f t="shared" si="284"/>
        <v>#DIV/0!</v>
      </c>
      <c r="I2139" s="1216">
        <f t="shared" si="286"/>
        <v>0</v>
      </c>
      <c r="J2139" s="860">
        <f t="shared" si="286"/>
        <v>0</v>
      </c>
      <c r="K2139" s="1217" t="e">
        <f t="shared" si="285"/>
        <v>#DIV/0!</v>
      </c>
      <c r="L2139" s="711"/>
      <c r="M2139" s="711"/>
    </row>
    <row r="2140" spans="1:13" ht="24.95" customHeight="1">
      <c r="A2140" s="456" t="s">
        <v>4640</v>
      </c>
      <c r="B2140" s="449" t="s">
        <v>4641</v>
      </c>
      <c r="C2140" s="1212"/>
      <c r="D2140" s="1212"/>
      <c r="E2140" s="1213" t="e">
        <f t="shared" si="283"/>
        <v>#DIV/0!</v>
      </c>
      <c r="F2140" s="1214"/>
      <c r="G2140" s="1214"/>
      <c r="H2140" s="1215" t="e">
        <f t="shared" si="284"/>
        <v>#DIV/0!</v>
      </c>
      <c r="I2140" s="1216">
        <f t="shared" si="286"/>
        <v>0</v>
      </c>
      <c r="J2140" s="860">
        <f t="shared" si="286"/>
        <v>0</v>
      </c>
      <c r="K2140" s="1217" t="e">
        <f t="shared" si="285"/>
        <v>#DIV/0!</v>
      </c>
      <c r="L2140" s="711"/>
      <c r="M2140" s="711"/>
    </row>
    <row r="2141" spans="1:13" ht="24.95" customHeight="1">
      <c r="A2141" s="456" t="s">
        <v>4642</v>
      </c>
      <c r="B2141" s="449" t="s">
        <v>4643</v>
      </c>
      <c r="C2141" s="1212"/>
      <c r="D2141" s="1212"/>
      <c r="E2141" s="1213" t="e">
        <f t="shared" si="283"/>
        <v>#DIV/0!</v>
      </c>
      <c r="F2141" s="1214"/>
      <c r="G2141" s="1214"/>
      <c r="H2141" s="1215" t="e">
        <f t="shared" si="284"/>
        <v>#DIV/0!</v>
      </c>
      <c r="I2141" s="1216">
        <f t="shared" si="286"/>
        <v>0</v>
      </c>
      <c r="J2141" s="860">
        <f t="shared" si="286"/>
        <v>0</v>
      </c>
      <c r="K2141" s="1217" t="e">
        <f t="shared" si="285"/>
        <v>#DIV/0!</v>
      </c>
      <c r="L2141" s="711"/>
      <c r="M2141" s="711"/>
    </row>
    <row r="2142" spans="1:13" ht="24.95" customHeight="1">
      <c r="A2142" s="456" t="s">
        <v>4642</v>
      </c>
      <c r="B2142" s="449" t="s">
        <v>4643</v>
      </c>
      <c r="C2142" s="1212"/>
      <c r="D2142" s="1212"/>
      <c r="E2142" s="1213" t="e">
        <f t="shared" si="283"/>
        <v>#DIV/0!</v>
      </c>
      <c r="F2142" s="1214"/>
      <c r="G2142" s="1214"/>
      <c r="H2142" s="1215" t="e">
        <f t="shared" si="284"/>
        <v>#DIV/0!</v>
      </c>
      <c r="I2142" s="1216">
        <f t="shared" si="286"/>
        <v>0</v>
      </c>
      <c r="J2142" s="860">
        <f t="shared" si="286"/>
        <v>0</v>
      </c>
      <c r="K2142" s="1217" t="e">
        <f t="shared" si="285"/>
        <v>#DIV/0!</v>
      </c>
      <c r="L2142" s="711"/>
      <c r="M2142" s="711"/>
    </row>
    <row r="2143" spans="1:13" ht="24.95" customHeight="1">
      <c r="A2143" s="456" t="s">
        <v>4644</v>
      </c>
      <c r="B2143" s="449" t="s">
        <v>4645</v>
      </c>
      <c r="C2143" s="1212"/>
      <c r="D2143" s="1212"/>
      <c r="E2143" s="1213" t="e">
        <f t="shared" si="283"/>
        <v>#DIV/0!</v>
      </c>
      <c r="F2143" s="1214">
        <v>2</v>
      </c>
      <c r="G2143" s="1214"/>
      <c r="H2143" s="1215">
        <f t="shared" si="284"/>
        <v>0</v>
      </c>
      <c r="I2143" s="1216">
        <f t="shared" si="286"/>
        <v>2</v>
      </c>
      <c r="J2143" s="860">
        <f t="shared" si="286"/>
        <v>0</v>
      </c>
      <c r="K2143" s="1217">
        <f t="shared" si="285"/>
        <v>0</v>
      </c>
      <c r="L2143" s="711"/>
      <c r="M2143" s="711"/>
    </row>
    <row r="2144" spans="1:13" ht="24.95" customHeight="1">
      <c r="A2144" s="456" t="s">
        <v>4646</v>
      </c>
      <c r="B2144" s="449" t="s">
        <v>4647</v>
      </c>
      <c r="C2144" s="1212"/>
      <c r="D2144" s="1212"/>
      <c r="E2144" s="1213" t="e">
        <f t="shared" si="283"/>
        <v>#DIV/0!</v>
      </c>
      <c r="F2144" s="1214">
        <v>2</v>
      </c>
      <c r="G2144" s="1214"/>
      <c r="H2144" s="1215">
        <f t="shared" si="284"/>
        <v>0</v>
      </c>
      <c r="I2144" s="1216"/>
      <c r="J2144" s="860">
        <f t="shared" ref="J2144:J2185" si="287">+D2144+G2144</f>
        <v>0</v>
      </c>
      <c r="K2144" s="1217" t="e">
        <f t="shared" si="285"/>
        <v>#DIV/0!</v>
      </c>
      <c r="L2144" s="711"/>
      <c r="M2144" s="711"/>
    </row>
    <row r="2145" spans="1:13" ht="24.95" customHeight="1">
      <c r="A2145" s="456" t="s">
        <v>4648</v>
      </c>
      <c r="B2145" s="449" t="s">
        <v>4649</v>
      </c>
      <c r="C2145" s="1212"/>
      <c r="D2145" s="1212"/>
      <c r="E2145" s="1213" t="e">
        <f t="shared" si="283"/>
        <v>#DIV/0!</v>
      </c>
      <c r="F2145" s="1214"/>
      <c r="G2145" s="1214"/>
      <c r="H2145" s="1215" t="e">
        <f t="shared" si="284"/>
        <v>#DIV/0!</v>
      </c>
      <c r="I2145" s="1216">
        <f t="shared" ref="I2145:I2155" si="288">+C2145+F2145</f>
        <v>0</v>
      </c>
      <c r="J2145" s="860">
        <f t="shared" si="287"/>
        <v>0</v>
      </c>
      <c r="K2145" s="1217" t="e">
        <f t="shared" si="285"/>
        <v>#DIV/0!</v>
      </c>
      <c r="L2145" s="711"/>
      <c r="M2145" s="711"/>
    </row>
    <row r="2146" spans="1:13" ht="24.95" customHeight="1">
      <c r="A2146" s="456" t="s">
        <v>4650</v>
      </c>
      <c r="B2146" s="449" t="s">
        <v>4651</v>
      </c>
      <c r="C2146" s="1212"/>
      <c r="D2146" s="1212"/>
      <c r="E2146" s="1213" t="e">
        <f t="shared" si="283"/>
        <v>#DIV/0!</v>
      </c>
      <c r="F2146" s="1214"/>
      <c r="G2146" s="1214"/>
      <c r="H2146" s="1215" t="e">
        <f t="shared" si="284"/>
        <v>#DIV/0!</v>
      </c>
      <c r="I2146" s="1216">
        <f t="shared" si="288"/>
        <v>0</v>
      </c>
      <c r="J2146" s="860">
        <f t="shared" si="287"/>
        <v>0</v>
      </c>
      <c r="K2146" s="1217" t="e">
        <f t="shared" si="285"/>
        <v>#DIV/0!</v>
      </c>
      <c r="L2146" s="711"/>
      <c r="M2146" s="711"/>
    </row>
    <row r="2147" spans="1:13" ht="24.95" customHeight="1">
      <c r="A2147" s="456" t="s">
        <v>4652</v>
      </c>
      <c r="B2147" s="449" t="s">
        <v>4653</v>
      </c>
      <c r="C2147" s="1212"/>
      <c r="D2147" s="1212"/>
      <c r="E2147" s="1213" t="e">
        <f t="shared" si="283"/>
        <v>#DIV/0!</v>
      </c>
      <c r="F2147" s="1214">
        <v>120</v>
      </c>
      <c r="G2147" s="1214">
        <v>52</v>
      </c>
      <c r="H2147" s="1215">
        <f t="shared" si="284"/>
        <v>0.43333333333333335</v>
      </c>
      <c r="I2147" s="1216">
        <f t="shared" si="288"/>
        <v>120</v>
      </c>
      <c r="J2147" s="860">
        <f t="shared" si="287"/>
        <v>52</v>
      </c>
      <c r="K2147" s="1217">
        <f t="shared" si="285"/>
        <v>0.43333333333333335</v>
      </c>
      <c r="L2147" s="711"/>
      <c r="M2147" s="711"/>
    </row>
    <row r="2148" spans="1:13" ht="24.95" customHeight="1">
      <c r="A2148" s="456" t="s">
        <v>4654</v>
      </c>
      <c r="B2148" s="449" t="s">
        <v>4655</v>
      </c>
      <c r="C2148" s="1212"/>
      <c r="D2148" s="1212"/>
      <c r="E2148" s="1213" t="e">
        <f t="shared" si="283"/>
        <v>#DIV/0!</v>
      </c>
      <c r="F2148" s="1214">
        <v>165</v>
      </c>
      <c r="G2148" s="1214">
        <v>66</v>
      </c>
      <c r="H2148" s="1215">
        <f t="shared" si="284"/>
        <v>0.4</v>
      </c>
      <c r="I2148" s="1216">
        <f t="shared" si="288"/>
        <v>165</v>
      </c>
      <c r="J2148" s="860">
        <f t="shared" si="287"/>
        <v>66</v>
      </c>
      <c r="K2148" s="1217">
        <f t="shared" si="285"/>
        <v>0.4</v>
      </c>
      <c r="L2148" s="711"/>
      <c r="M2148" s="711"/>
    </row>
    <row r="2149" spans="1:13" ht="24.95" customHeight="1">
      <c r="A2149" s="456" t="s">
        <v>4656</v>
      </c>
      <c r="B2149" s="449" t="s">
        <v>4657</v>
      </c>
      <c r="C2149" s="1212"/>
      <c r="D2149" s="1212"/>
      <c r="E2149" s="1213" t="e">
        <f t="shared" si="283"/>
        <v>#DIV/0!</v>
      </c>
      <c r="F2149" s="1214">
        <v>1</v>
      </c>
      <c r="G2149" s="1214"/>
      <c r="H2149" s="1215">
        <f t="shared" si="284"/>
        <v>0</v>
      </c>
      <c r="I2149" s="1216">
        <f t="shared" si="288"/>
        <v>1</v>
      </c>
      <c r="J2149" s="860">
        <f t="shared" si="287"/>
        <v>0</v>
      </c>
      <c r="K2149" s="1217">
        <f t="shared" si="285"/>
        <v>0</v>
      </c>
      <c r="L2149" s="711"/>
      <c r="M2149" s="711"/>
    </row>
    <row r="2150" spans="1:13" ht="24.95" customHeight="1">
      <c r="A2150" s="456" t="s">
        <v>4658</v>
      </c>
      <c r="B2150" s="449" t="s">
        <v>4659</v>
      </c>
      <c r="C2150" s="1212"/>
      <c r="D2150" s="1212"/>
      <c r="E2150" s="1213" t="e">
        <f t="shared" si="283"/>
        <v>#DIV/0!</v>
      </c>
      <c r="F2150" s="1214">
        <v>3</v>
      </c>
      <c r="G2150" s="1214"/>
      <c r="H2150" s="1215">
        <f t="shared" si="284"/>
        <v>0</v>
      </c>
      <c r="I2150" s="1216">
        <f t="shared" si="288"/>
        <v>3</v>
      </c>
      <c r="J2150" s="860">
        <f t="shared" si="287"/>
        <v>0</v>
      </c>
      <c r="K2150" s="1217">
        <f t="shared" si="285"/>
        <v>0</v>
      </c>
      <c r="L2150" s="711"/>
      <c r="M2150" s="711"/>
    </row>
    <row r="2151" spans="1:13" ht="24.95" customHeight="1">
      <c r="A2151" s="456" t="s">
        <v>4660</v>
      </c>
      <c r="B2151" s="449" t="s">
        <v>4661</v>
      </c>
      <c r="C2151" s="1212"/>
      <c r="D2151" s="1212"/>
      <c r="E2151" s="1213" t="e">
        <f t="shared" si="283"/>
        <v>#DIV/0!</v>
      </c>
      <c r="F2151" s="1214"/>
      <c r="G2151" s="1214"/>
      <c r="H2151" s="1215" t="e">
        <f t="shared" si="284"/>
        <v>#DIV/0!</v>
      </c>
      <c r="I2151" s="1216">
        <f t="shared" si="288"/>
        <v>0</v>
      </c>
      <c r="J2151" s="860">
        <f t="shared" si="287"/>
        <v>0</v>
      </c>
      <c r="K2151" s="1217" t="e">
        <f t="shared" si="285"/>
        <v>#DIV/0!</v>
      </c>
      <c r="L2151" s="711"/>
      <c r="M2151" s="711"/>
    </row>
    <row r="2152" spans="1:13" ht="24.95" customHeight="1">
      <c r="A2152" s="456" t="s">
        <v>4662</v>
      </c>
      <c r="B2152" s="449" t="s">
        <v>4663</v>
      </c>
      <c r="C2152" s="1212"/>
      <c r="D2152" s="1212"/>
      <c r="E2152" s="1213" t="e">
        <f t="shared" si="283"/>
        <v>#DIV/0!</v>
      </c>
      <c r="F2152" s="1214"/>
      <c r="G2152" s="1214"/>
      <c r="H2152" s="1215" t="e">
        <f t="shared" si="284"/>
        <v>#DIV/0!</v>
      </c>
      <c r="I2152" s="1216">
        <f t="shared" si="288"/>
        <v>0</v>
      </c>
      <c r="J2152" s="860">
        <f t="shared" si="287"/>
        <v>0</v>
      </c>
      <c r="K2152" s="1217" t="e">
        <f t="shared" si="285"/>
        <v>#DIV/0!</v>
      </c>
      <c r="L2152" s="711"/>
      <c r="M2152" s="711"/>
    </row>
    <row r="2153" spans="1:13" ht="24.95" customHeight="1">
      <c r="A2153" s="456" t="s">
        <v>4664</v>
      </c>
      <c r="B2153" s="449" t="s">
        <v>4665</v>
      </c>
      <c r="C2153" s="1212"/>
      <c r="D2153" s="1212"/>
      <c r="E2153" s="1213" t="e">
        <f t="shared" si="283"/>
        <v>#DIV/0!</v>
      </c>
      <c r="F2153" s="1214"/>
      <c r="G2153" s="1214"/>
      <c r="H2153" s="1215" t="e">
        <f t="shared" si="284"/>
        <v>#DIV/0!</v>
      </c>
      <c r="I2153" s="1216">
        <f t="shared" si="288"/>
        <v>0</v>
      </c>
      <c r="J2153" s="860">
        <f t="shared" si="287"/>
        <v>0</v>
      </c>
      <c r="K2153" s="1217" t="e">
        <f t="shared" si="285"/>
        <v>#DIV/0!</v>
      </c>
      <c r="L2153" s="711"/>
      <c r="M2153" s="711"/>
    </row>
    <row r="2154" spans="1:13" ht="24.95" customHeight="1">
      <c r="A2154" s="456" t="s">
        <v>4666</v>
      </c>
      <c r="B2154" s="449" t="s">
        <v>4667</v>
      </c>
      <c r="C2154" s="1212"/>
      <c r="D2154" s="1212"/>
      <c r="E2154" s="1213" t="e">
        <f t="shared" si="283"/>
        <v>#DIV/0!</v>
      </c>
      <c r="F2154" s="1214"/>
      <c r="G2154" s="1214"/>
      <c r="H2154" s="1215" t="e">
        <f t="shared" si="284"/>
        <v>#DIV/0!</v>
      </c>
      <c r="I2154" s="1216">
        <f t="shared" si="288"/>
        <v>0</v>
      </c>
      <c r="J2154" s="860">
        <f t="shared" si="287"/>
        <v>0</v>
      </c>
      <c r="K2154" s="1217" t="e">
        <f t="shared" si="285"/>
        <v>#DIV/0!</v>
      </c>
      <c r="L2154" s="711"/>
      <c r="M2154" s="711"/>
    </row>
    <row r="2155" spans="1:13" ht="24.95" customHeight="1">
      <c r="A2155" s="456" t="s">
        <v>4668</v>
      </c>
      <c r="B2155" s="449" t="s">
        <v>4669</v>
      </c>
      <c r="C2155" s="1212"/>
      <c r="D2155" s="1212"/>
      <c r="E2155" s="1213" t="e">
        <f t="shared" si="283"/>
        <v>#DIV/0!</v>
      </c>
      <c r="F2155" s="1214">
        <v>65</v>
      </c>
      <c r="G2155" s="1214">
        <v>29</v>
      </c>
      <c r="H2155" s="1215">
        <f t="shared" si="284"/>
        <v>0.44615384615384618</v>
      </c>
      <c r="I2155" s="1216">
        <f t="shared" si="288"/>
        <v>65</v>
      </c>
      <c r="J2155" s="860">
        <f t="shared" si="287"/>
        <v>29</v>
      </c>
      <c r="K2155" s="1217">
        <f t="shared" si="285"/>
        <v>0.44615384615384618</v>
      </c>
      <c r="L2155" s="711"/>
      <c r="M2155" s="711"/>
    </row>
    <row r="2156" spans="1:13" ht="24.95" customHeight="1">
      <c r="A2156" s="456" t="s">
        <v>4670</v>
      </c>
      <c r="B2156" s="449" t="s">
        <v>4671</v>
      </c>
      <c r="C2156" s="1212"/>
      <c r="D2156" s="1212"/>
      <c r="E2156" s="1213" t="e">
        <f t="shared" si="283"/>
        <v>#DIV/0!</v>
      </c>
      <c r="F2156" s="1214">
        <v>1</v>
      </c>
      <c r="G2156" s="1214"/>
      <c r="H2156" s="1215">
        <f t="shared" si="284"/>
        <v>0</v>
      </c>
      <c r="I2156" s="1216"/>
      <c r="J2156" s="860">
        <f t="shared" si="287"/>
        <v>0</v>
      </c>
      <c r="K2156" s="1217" t="e">
        <f t="shared" si="285"/>
        <v>#DIV/0!</v>
      </c>
      <c r="L2156" s="711"/>
      <c r="M2156" s="711"/>
    </row>
    <row r="2157" spans="1:13" ht="24.95" customHeight="1">
      <c r="A2157" s="456" t="s">
        <v>4672</v>
      </c>
      <c r="B2157" s="449" t="s">
        <v>4673</v>
      </c>
      <c r="C2157" s="1212"/>
      <c r="D2157" s="1212"/>
      <c r="E2157" s="1213" t="e">
        <f t="shared" si="283"/>
        <v>#DIV/0!</v>
      </c>
      <c r="F2157" s="1214"/>
      <c r="G2157" s="1214"/>
      <c r="H2157" s="1215" t="e">
        <f t="shared" si="284"/>
        <v>#DIV/0!</v>
      </c>
      <c r="I2157" s="1216">
        <f t="shared" ref="I2157:I2184" si="289">+C2157+F2157</f>
        <v>0</v>
      </c>
      <c r="J2157" s="860">
        <f t="shared" si="287"/>
        <v>0</v>
      </c>
      <c r="K2157" s="1217" t="e">
        <f t="shared" si="285"/>
        <v>#DIV/0!</v>
      </c>
      <c r="L2157" s="711"/>
      <c r="M2157" s="711"/>
    </row>
    <row r="2158" spans="1:13" ht="24.95" customHeight="1">
      <c r="A2158" s="456" t="s">
        <v>4674</v>
      </c>
      <c r="B2158" s="449" t="s">
        <v>4675</v>
      </c>
      <c r="C2158" s="1212"/>
      <c r="D2158" s="1212"/>
      <c r="E2158" s="1213" t="e">
        <f t="shared" si="283"/>
        <v>#DIV/0!</v>
      </c>
      <c r="F2158" s="1214">
        <v>10</v>
      </c>
      <c r="G2158" s="1214"/>
      <c r="H2158" s="1215">
        <f t="shared" si="284"/>
        <v>0</v>
      </c>
      <c r="I2158" s="1216">
        <f t="shared" si="289"/>
        <v>10</v>
      </c>
      <c r="J2158" s="860">
        <f t="shared" si="287"/>
        <v>0</v>
      </c>
      <c r="K2158" s="1217">
        <f t="shared" si="285"/>
        <v>0</v>
      </c>
      <c r="L2158" s="711"/>
      <c r="M2158" s="711"/>
    </row>
    <row r="2159" spans="1:13" ht="24.95" customHeight="1">
      <c r="A2159" s="456" t="s">
        <v>4676</v>
      </c>
      <c r="B2159" s="449" t="s">
        <v>4677</v>
      </c>
      <c r="C2159" s="1212"/>
      <c r="D2159" s="1212"/>
      <c r="E2159" s="1213" t="e">
        <f t="shared" si="283"/>
        <v>#DIV/0!</v>
      </c>
      <c r="F2159" s="1214">
        <v>15</v>
      </c>
      <c r="G2159" s="1214"/>
      <c r="H2159" s="1215">
        <f t="shared" si="284"/>
        <v>0</v>
      </c>
      <c r="I2159" s="1216">
        <f t="shared" si="289"/>
        <v>15</v>
      </c>
      <c r="J2159" s="860">
        <f t="shared" si="287"/>
        <v>0</v>
      </c>
      <c r="K2159" s="1217">
        <f t="shared" si="285"/>
        <v>0</v>
      </c>
      <c r="L2159" s="711"/>
      <c r="M2159" s="711"/>
    </row>
    <row r="2160" spans="1:13" ht="24.95" customHeight="1">
      <c r="A2160" s="456" t="s">
        <v>4678</v>
      </c>
      <c r="B2160" s="449" t="s">
        <v>4679</v>
      </c>
      <c r="C2160" s="1212"/>
      <c r="D2160" s="1212"/>
      <c r="E2160" s="1213" t="e">
        <f t="shared" si="283"/>
        <v>#DIV/0!</v>
      </c>
      <c r="F2160" s="1214"/>
      <c r="G2160" s="1214"/>
      <c r="H2160" s="1215" t="e">
        <f t="shared" si="284"/>
        <v>#DIV/0!</v>
      </c>
      <c r="I2160" s="1216">
        <f t="shared" si="289"/>
        <v>0</v>
      </c>
      <c r="J2160" s="860">
        <f t="shared" si="287"/>
        <v>0</v>
      </c>
      <c r="K2160" s="1217" t="e">
        <f t="shared" si="285"/>
        <v>#DIV/0!</v>
      </c>
      <c r="L2160" s="711"/>
      <c r="M2160" s="711"/>
    </row>
    <row r="2161" spans="1:13" ht="24.95" customHeight="1">
      <c r="A2161" s="456" t="s">
        <v>4680</v>
      </c>
      <c r="B2161" s="449" t="s">
        <v>4681</v>
      </c>
      <c r="C2161" s="1212"/>
      <c r="D2161" s="1212"/>
      <c r="E2161" s="1213" t="e">
        <f t="shared" si="283"/>
        <v>#DIV/0!</v>
      </c>
      <c r="F2161" s="1214">
        <v>1</v>
      </c>
      <c r="G2161" s="1214"/>
      <c r="H2161" s="1215">
        <f t="shared" si="284"/>
        <v>0</v>
      </c>
      <c r="I2161" s="1216">
        <f t="shared" si="289"/>
        <v>1</v>
      </c>
      <c r="J2161" s="860">
        <f t="shared" si="287"/>
        <v>0</v>
      </c>
      <c r="K2161" s="1217">
        <f t="shared" si="285"/>
        <v>0</v>
      </c>
      <c r="L2161" s="711"/>
      <c r="M2161" s="711"/>
    </row>
    <row r="2162" spans="1:13" ht="24.95" customHeight="1">
      <c r="A2162" s="456" t="s">
        <v>4682</v>
      </c>
      <c r="B2162" s="449" t="s">
        <v>4683</v>
      </c>
      <c r="C2162" s="1212"/>
      <c r="D2162" s="1212"/>
      <c r="E2162" s="1213" t="e">
        <f t="shared" si="283"/>
        <v>#DIV/0!</v>
      </c>
      <c r="F2162" s="1214"/>
      <c r="G2162" s="1214"/>
      <c r="H2162" s="1215" t="e">
        <f t="shared" si="284"/>
        <v>#DIV/0!</v>
      </c>
      <c r="I2162" s="1216">
        <f t="shared" si="289"/>
        <v>0</v>
      </c>
      <c r="J2162" s="860">
        <f t="shared" si="287"/>
        <v>0</v>
      </c>
      <c r="K2162" s="1217" t="e">
        <f t="shared" si="285"/>
        <v>#DIV/0!</v>
      </c>
      <c r="L2162" s="711"/>
      <c r="M2162" s="711"/>
    </row>
    <row r="2163" spans="1:13" ht="24.95" customHeight="1">
      <c r="A2163" s="456" t="s">
        <v>4684</v>
      </c>
      <c r="B2163" s="449" t="s">
        <v>4685</v>
      </c>
      <c r="C2163" s="1212"/>
      <c r="D2163" s="1212"/>
      <c r="E2163" s="1213" t="e">
        <f t="shared" si="283"/>
        <v>#DIV/0!</v>
      </c>
      <c r="F2163" s="1214">
        <v>2</v>
      </c>
      <c r="G2163" s="1214"/>
      <c r="H2163" s="1215">
        <f t="shared" si="284"/>
        <v>0</v>
      </c>
      <c r="I2163" s="1216">
        <f t="shared" si="289"/>
        <v>2</v>
      </c>
      <c r="J2163" s="860">
        <f t="shared" si="287"/>
        <v>0</v>
      </c>
      <c r="K2163" s="1217">
        <f t="shared" si="285"/>
        <v>0</v>
      </c>
      <c r="L2163" s="711"/>
      <c r="M2163" s="711"/>
    </row>
    <row r="2164" spans="1:13" ht="24.95" customHeight="1">
      <c r="A2164" s="1223" t="s">
        <v>4686</v>
      </c>
      <c r="B2164" s="1224" t="s">
        <v>4687</v>
      </c>
      <c r="C2164" s="1212"/>
      <c r="D2164" s="1212"/>
      <c r="E2164" s="1213" t="e">
        <f t="shared" si="283"/>
        <v>#DIV/0!</v>
      </c>
      <c r="F2164" s="1214">
        <v>2</v>
      </c>
      <c r="G2164" s="1214">
        <v>2</v>
      </c>
      <c r="H2164" s="1215">
        <f t="shared" si="284"/>
        <v>1</v>
      </c>
      <c r="I2164" s="1216">
        <f t="shared" si="289"/>
        <v>2</v>
      </c>
      <c r="J2164" s="860">
        <f t="shared" si="287"/>
        <v>2</v>
      </c>
      <c r="K2164" s="1217">
        <f t="shared" si="285"/>
        <v>1</v>
      </c>
      <c r="L2164" s="711"/>
      <c r="M2164" s="711"/>
    </row>
    <row r="2165" spans="1:13" ht="24.95" customHeight="1">
      <c r="A2165" s="456" t="s">
        <v>4688</v>
      </c>
      <c r="B2165" s="449" t="s">
        <v>4689</v>
      </c>
      <c r="C2165" s="1212"/>
      <c r="D2165" s="1212"/>
      <c r="E2165" s="1213" t="e">
        <f t="shared" si="283"/>
        <v>#DIV/0!</v>
      </c>
      <c r="F2165" s="1214"/>
      <c r="G2165" s="1214"/>
      <c r="H2165" s="1215" t="e">
        <f t="shared" si="284"/>
        <v>#DIV/0!</v>
      </c>
      <c r="I2165" s="1216">
        <f t="shared" si="289"/>
        <v>0</v>
      </c>
      <c r="J2165" s="860">
        <f t="shared" si="287"/>
        <v>0</v>
      </c>
      <c r="K2165" s="1217" t="e">
        <f t="shared" si="285"/>
        <v>#DIV/0!</v>
      </c>
      <c r="L2165" s="711"/>
      <c r="M2165" s="711"/>
    </row>
    <row r="2166" spans="1:13" ht="24.95" customHeight="1">
      <c r="A2166" s="456" t="s">
        <v>4690</v>
      </c>
      <c r="B2166" s="449" t="s">
        <v>4691</v>
      </c>
      <c r="C2166" s="1212"/>
      <c r="D2166" s="1212"/>
      <c r="E2166" s="1213" t="e">
        <f t="shared" si="283"/>
        <v>#DIV/0!</v>
      </c>
      <c r="F2166" s="1214"/>
      <c r="G2166" s="1214"/>
      <c r="H2166" s="1215" t="e">
        <f t="shared" si="284"/>
        <v>#DIV/0!</v>
      </c>
      <c r="I2166" s="1216">
        <f t="shared" si="289"/>
        <v>0</v>
      </c>
      <c r="J2166" s="860">
        <f t="shared" si="287"/>
        <v>0</v>
      </c>
      <c r="K2166" s="1217" t="e">
        <f t="shared" si="285"/>
        <v>#DIV/0!</v>
      </c>
      <c r="L2166" s="711"/>
      <c r="M2166" s="711"/>
    </row>
    <row r="2167" spans="1:13" ht="24.95" customHeight="1">
      <c r="A2167" s="456" t="s">
        <v>4692</v>
      </c>
      <c r="B2167" s="449" t="s">
        <v>4693</v>
      </c>
      <c r="C2167" s="1212"/>
      <c r="D2167" s="1212"/>
      <c r="E2167" s="1213" t="e">
        <f t="shared" si="283"/>
        <v>#DIV/0!</v>
      </c>
      <c r="F2167" s="1214"/>
      <c r="G2167" s="1214"/>
      <c r="H2167" s="1215" t="e">
        <f t="shared" si="284"/>
        <v>#DIV/0!</v>
      </c>
      <c r="I2167" s="1216">
        <f t="shared" si="289"/>
        <v>0</v>
      </c>
      <c r="J2167" s="860">
        <f t="shared" si="287"/>
        <v>0</v>
      </c>
      <c r="K2167" s="1217" t="e">
        <f t="shared" si="285"/>
        <v>#DIV/0!</v>
      </c>
      <c r="L2167" s="711"/>
      <c r="M2167" s="711"/>
    </row>
    <row r="2168" spans="1:13" ht="24.95" customHeight="1">
      <c r="A2168" s="456" t="s">
        <v>4694</v>
      </c>
      <c r="B2168" s="449" t="s">
        <v>4695</v>
      </c>
      <c r="C2168" s="1212"/>
      <c r="D2168" s="1212"/>
      <c r="E2168" s="1213" t="e">
        <f t="shared" si="283"/>
        <v>#DIV/0!</v>
      </c>
      <c r="F2168" s="1214"/>
      <c r="G2168" s="1214"/>
      <c r="H2168" s="1215" t="e">
        <f t="shared" si="284"/>
        <v>#DIV/0!</v>
      </c>
      <c r="I2168" s="1216">
        <f t="shared" si="289"/>
        <v>0</v>
      </c>
      <c r="J2168" s="860">
        <f t="shared" si="287"/>
        <v>0</v>
      </c>
      <c r="K2168" s="1217" t="e">
        <f t="shared" si="285"/>
        <v>#DIV/0!</v>
      </c>
      <c r="L2168" s="711"/>
      <c r="M2168" s="711"/>
    </row>
    <row r="2169" spans="1:13" ht="24.95" customHeight="1">
      <c r="A2169" s="456" t="s">
        <v>4696</v>
      </c>
      <c r="B2169" s="449" t="s">
        <v>4697</v>
      </c>
      <c r="C2169" s="1212"/>
      <c r="D2169" s="1212"/>
      <c r="E2169" s="1213" t="e">
        <f t="shared" si="283"/>
        <v>#DIV/0!</v>
      </c>
      <c r="F2169" s="1214"/>
      <c r="G2169" s="1214"/>
      <c r="H2169" s="1215" t="e">
        <f t="shared" si="284"/>
        <v>#DIV/0!</v>
      </c>
      <c r="I2169" s="1216">
        <f t="shared" si="289"/>
        <v>0</v>
      </c>
      <c r="J2169" s="860">
        <f t="shared" si="287"/>
        <v>0</v>
      </c>
      <c r="K2169" s="1217" t="e">
        <f t="shared" si="285"/>
        <v>#DIV/0!</v>
      </c>
      <c r="L2169" s="711"/>
      <c r="M2169" s="711"/>
    </row>
    <row r="2170" spans="1:13" ht="24.95" customHeight="1">
      <c r="A2170" s="456" t="s">
        <v>4698</v>
      </c>
      <c r="B2170" s="449" t="s">
        <v>4699</v>
      </c>
      <c r="C2170" s="1212"/>
      <c r="D2170" s="1212"/>
      <c r="E2170" s="1213" t="e">
        <f t="shared" ref="E2170:E2185" si="290">+D2170/C2170</f>
        <v>#DIV/0!</v>
      </c>
      <c r="F2170" s="1214">
        <v>2</v>
      </c>
      <c r="G2170" s="1214">
        <v>1</v>
      </c>
      <c r="H2170" s="1215">
        <f t="shared" ref="H2170:H2185" si="291">+G2170/F2170</f>
        <v>0.5</v>
      </c>
      <c r="I2170" s="1216">
        <f t="shared" si="289"/>
        <v>2</v>
      </c>
      <c r="J2170" s="860">
        <f t="shared" si="287"/>
        <v>1</v>
      </c>
      <c r="K2170" s="1217">
        <f t="shared" ref="K2170:K2185" si="292">+J2170/I2170</f>
        <v>0.5</v>
      </c>
      <c r="L2170" s="711"/>
      <c r="M2170" s="711"/>
    </row>
    <row r="2171" spans="1:13" ht="24.95" customHeight="1">
      <c r="A2171" s="456" t="s">
        <v>4700</v>
      </c>
      <c r="B2171" s="449" t="s">
        <v>4701</v>
      </c>
      <c r="C2171" s="1212"/>
      <c r="D2171" s="1212"/>
      <c r="E2171" s="1213" t="e">
        <f t="shared" si="290"/>
        <v>#DIV/0!</v>
      </c>
      <c r="F2171" s="1214">
        <v>2</v>
      </c>
      <c r="G2171" s="1214"/>
      <c r="H2171" s="1215">
        <f t="shared" si="291"/>
        <v>0</v>
      </c>
      <c r="I2171" s="1216">
        <f t="shared" si="289"/>
        <v>2</v>
      </c>
      <c r="J2171" s="860">
        <f t="shared" si="287"/>
        <v>0</v>
      </c>
      <c r="K2171" s="1217">
        <f t="shared" si="292"/>
        <v>0</v>
      </c>
      <c r="L2171" s="711"/>
      <c r="M2171" s="711"/>
    </row>
    <row r="2172" spans="1:13" ht="24.95" customHeight="1">
      <c r="A2172" s="456" t="s">
        <v>4702</v>
      </c>
      <c r="B2172" s="449" t="s">
        <v>4703</v>
      </c>
      <c r="C2172" s="1212"/>
      <c r="D2172" s="1212"/>
      <c r="E2172" s="1213" t="e">
        <f t="shared" si="290"/>
        <v>#DIV/0!</v>
      </c>
      <c r="F2172" s="1214">
        <v>1</v>
      </c>
      <c r="G2172" s="1214"/>
      <c r="H2172" s="1215">
        <f t="shared" si="291"/>
        <v>0</v>
      </c>
      <c r="I2172" s="1216">
        <f t="shared" si="289"/>
        <v>1</v>
      </c>
      <c r="J2172" s="860">
        <f t="shared" si="287"/>
        <v>0</v>
      </c>
      <c r="K2172" s="1217">
        <f t="shared" si="292"/>
        <v>0</v>
      </c>
      <c r="L2172" s="711"/>
      <c r="M2172" s="711"/>
    </row>
    <row r="2173" spans="1:13" ht="24.95" customHeight="1">
      <c r="A2173" s="456" t="s">
        <v>4704</v>
      </c>
      <c r="B2173" s="449" t="s">
        <v>4623</v>
      </c>
      <c r="C2173" s="1212"/>
      <c r="D2173" s="1212"/>
      <c r="E2173" s="1213" t="e">
        <f t="shared" si="290"/>
        <v>#DIV/0!</v>
      </c>
      <c r="F2173" s="1214">
        <v>1</v>
      </c>
      <c r="G2173" s="1214"/>
      <c r="H2173" s="1215">
        <f t="shared" si="291"/>
        <v>0</v>
      </c>
      <c r="I2173" s="1216">
        <f t="shared" si="289"/>
        <v>1</v>
      </c>
      <c r="J2173" s="860">
        <f t="shared" si="287"/>
        <v>0</v>
      </c>
      <c r="K2173" s="1217">
        <f t="shared" si="292"/>
        <v>0</v>
      </c>
      <c r="L2173" s="711"/>
      <c r="M2173" s="711"/>
    </row>
    <row r="2174" spans="1:13" ht="24.95" customHeight="1">
      <c r="A2174" s="456" t="s">
        <v>4705</v>
      </c>
      <c r="B2174" s="449" t="s">
        <v>4706</v>
      </c>
      <c r="C2174" s="1212"/>
      <c r="D2174" s="1212"/>
      <c r="E2174" s="1213" t="e">
        <f t="shared" si="290"/>
        <v>#DIV/0!</v>
      </c>
      <c r="F2174" s="1214"/>
      <c r="G2174" s="1214"/>
      <c r="H2174" s="1215" t="e">
        <f t="shared" si="291"/>
        <v>#DIV/0!</v>
      </c>
      <c r="I2174" s="1216">
        <f t="shared" si="289"/>
        <v>0</v>
      </c>
      <c r="J2174" s="860">
        <f t="shared" si="287"/>
        <v>0</v>
      </c>
      <c r="K2174" s="1217" t="e">
        <f t="shared" si="292"/>
        <v>#DIV/0!</v>
      </c>
      <c r="L2174" s="711"/>
      <c r="M2174" s="711"/>
    </row>
    <row r="2175" spans="1:13" ht="24.95" customHeight="1">
      <c r="A2175" s="456" t="s">
        <v>4138</v>
      </c>
      <c r="B2175" s="449" t="s">
        <v>4139</v>
      </c>
      <c r="C2175" s="1212"/>
      <c r="D2175" s="1212"/>
      <c r="E2175" s="1213" t="e">
        <f t="shared" si="290"/>
        <v>#DIV/0!</v>
      </c>
      <c r="F2175" s="1214"/>
      <c r="G2175" s="1214"/>
      <c r="H2175" s="1215" t="e">
        <f t="shared" si="291"/>
        <v>#DIV/0!</v>
      </c>
      <c r="I2175" s="1216">
        <f t="shared" si="289"/>
        <v>0</v>
      </c>
      <c r="J2175" s="860">
        <f t="shared" si="287"/>
        <v>0</v>
      </c>
      <c r="K2175" s="1217" t="e">
        <f t="shared" si="292"/>
        <v>#DIV/0!</v>
      </c>
      <c r="L2175" s="711"/>
      <c r="M2175" s="711"/>
    </row>
    <row r="2176" spans="1:13" ht="24.95" customHeight="1">
      <c r="A2176" s="1221" t="s">
        <v>4707</v>
      </c>
      <c r="B2176" s="1222" t="s">
        <v>4708</v>
      </c>
      <c r="C2176" s="1212"/>
      <c r="D2176" s="1212"/>
      <c r="E2176" s="1213" t="e">
        <f t="shared" si="290"/>
        <v>#DIV/0!</v>
      </c>
      <c r="F2176" s="1214">
        <v>0</v>
      </c>
      <c r="G2176" s="1214">
        <v>1</v>
      </c>
      <c r="H2176" s="1215" t="e">
        <f t="shared" si="291"/>
        <v>#DIV/0!</v>
      </c>
      <c r="I2176" s="1216">
        <f t="shared" si="289"/>
        <v>0</v>
      </c>
      <c r="J2176" s="860">
        <f t="shared" si="287"/>
        <v>1</v>
      </c>
      <c r="K2176" s="1217" t="e">
        <f t="shared" si="292"/>
        <v>#DIV/0!</v>
      </c>
      <c r="L2176" s="711"/>
      <c r="M2176" s="711"/>
    </row>
    <row r="2177" spans="1:13" ht="24.95" customHeight="1">
      <c r="A2177" s="1221" t="s">
        <v>4709</v>
      </c>
      <c r="B2177" s="1222" t="s">
        <v>4710</v>
      </c>
      <c r="C2177" s="1212"/>
      <c r="D2177" s="1212"/>
      <c r="E2177" s="1213" t="e">
        <f t="shared" si="290"/>
        <v>#DIV/0!</v>
      </c>
      <c r="F2177" s="1214">
        <v>0</v>
      </c>
      <c r="G2177" s="1214"/>
      <c r="H2177" s="1215" t="e">
        <f t="shared" si="291"/>
        <v>#DIV/0!</v>
      </c>
      <c r="I2177" s="1216">
        <f t="shared" si="289"/>
        <v>0</v>
      </c>
      <c r="J2177" s="860">
        <f t="shared" si="287"/>
        <v>0</v>
      </c>
      <c r="K2177" s="1217" t="e">
        <f t="shared" si="292"/>
        <v>#DIV/0!</v>
      </c>
      <c r="L2177" s="711"/>
      <c r="M2177" s="711"/>
    </row>
    <row r="2178" spans="1:13" ht="24.95" customHeight="1">
      <c r="A2178" s="456" t="s">
        <v>4711</v>
      </c>
      <c r="B2178" s="449" t="s">
        <v>4712</v>
      </c>
      <c r="C2178" s="1212"/>
      <c r="D2178" s="1212"/>
      <c r="E2178" s="1213" t="e">
        <f t="shared" si="290"/>
        <v>#DIV/0!</v>
      </c>
      <c r="F2178" s="1214"/>
      <c r="G2178" s="1214"/>
      <c r="H2178" s="1215" t="e">
        <f t="shared" si="291"/>
        <v>#DIV/0!</v>
      </c>
      <c r="I2178" s="1216">
        <f t="shared" si="289"/>
        <v>0</v>
      </c>
      <c r="J2178" s="860">
        <f t="shared" si="287"/>
        <v>0</v>
      </c>
      <c r="K2178" s="1217" t="e">
        <f t="shared" si="292"/>
        <v>#DIV/0!</v>
      </c>
      <c r="L2178" s="711"/>
      <c r="M2178" s="711"/>
    </row>
    <row r="2179" spans="1:13" ht="24.95" customHeight="1">
      <c r="A2179" s="456" t="s">
        <v>4713</v>
      </c>
      <c r="B2179" s="449" t="s">
        <v>4714</v>
      </c>
      <c r="C2179" s="1212"/>
      <c r="D2179" s="1212"/>
      <c r="E2179" s="1213" t="e">
        <f t="shared" si="290"/>
        <v>#DIV/0!</v>
      </c>
      <c r="F2179" s="1214"/>
      <c r="G2179" s="1214"/>
      <c r="H2179" s="1215" t="e">
        <f t="shared" si="291"/>
        <v>#DIV/0!</v>
      </c>
      <c r="I2179" s="1216">
        <f t="shared" si="289"/>
        <v>0</v>
      </c>
      <c r="J2179" s="860">
        <f t="shared" si="287"/>
        <v>0</v>
      </c>
      <c r="K2179" s="1217" t="e">
        <f t="shared" si="292"/>
        <v>#DIV/0!</v>
      </c>
      <c r="L2179" s="711"/>
      <c r="M2179" s="711"/>
    </row>
    <row r="2180" spans="1:13" ht="24.95" customHeight="1">
      <c r="A2180" s="456" t="s">
        <v>4715</v>
      </c>
      <c r="B2180" s="449" t="s">
        <v>4716</v>
      </c>
      <c r="C2180" s="1212"/>
      <c r="D2180" s="1212"/>
      <c r="E2180" s="1213" t="e">
        <f t="shared" si="290"/>
        <v>#DIV/0!</v>
      </c>
      <c r="F2180" s="1214"/>
      <c r="G2180" s="1214"/>
      <c r="H2180" s="1215" t="e">
        <f t="shared" si="291"/>
        <v>#DIV/0!</v>
      </c>
      <c r="I2180" s="1216">
        <f t="shared" si="289"/>
        <v>0</v>
      </c>
      <c r="J2180" s="860">
        <f t="shared" si="287"/>
        <v>0</v>
      </c>
      <c r="K2180" s="1217" t="e">
        <f t="shared" si="292"/>
        <v>#DIV/0!</v>
      </c>
      <c r="L2180" s="711"/>
      <c r="M2180" s="711"/>
    </row>
    <row r="2181" spans="1:13" ht="24.95" customHeight="1">
      <c r="A2181" s="456" t="s">
        <v>4717</v>
      </c>
      <c r="B2181" s="449" t="s">
        <v>4718</v>
      </c>
      <c r="C2181" s="1212"/>
      <c r="D2181" s="1212"/>
      <c r="E2181" s="1213" t="e">
        <f t="shared" si="290"/>
        <v>#DIV/0!</v>
      </c>
      <c r="F2181" s="1214"/>
      <c r="G2181" s="1214"/>
      <c r="H2181" s="1215" t="e">
        <f t="shared" si="291"/>
        <v>#DIV/0!</v>
      </c>
      <c r="I2181" s="1216">
        <f t="shared" si="289"/>
        <v>0</v>
      </c>
      <c r="J2181" s="860">
        <f t="shared" si="287"/>
        <v>0</v>
      </c>
      <c r="K2181" s="1217" t="e">
        <f t="shared" si="292"/>
        <v>#DIV/0!</v>
      </c>
      <c r="L2181" s="711"/>
      <c r="M2181" s="711"/>
    </row>
    <row r="2182" spans="1:13" ht="24.95" customHeight="1">
      <c r="A2182" s="456" t="s">
        <v>4719</v>
      </c>
      <c r="B2182" s="449" t="s">
        <v>4720</v>
      </c>
      <c r="C2182" s="1212"/>
      <c r="D2182" s="1212"/>
      <c r="E2182" s="1213" t="e">
        <f t="shared" si="290"/>
        <v>#DIV/0!</v>
      </c>
      <c r="F2182" s="1214"/>
      <c r="G2182" s="1214"/>
      <c r="H2182" s="1215" t="e">
        <f t="shared" si="291"/>
        <v>#DIV/0!</v>
      </c>
      <c r="I2182" s="1216">
        <f t="shared" si="289"/>
        <v>0</v>
      </c>
      <c r="J2182" s="860">
        <f t="shared" si="287"/>
        <v>0</v>
      </c>
      <c r="K2182" s="1217" t="e">
        <f t="shared" si="292"/>
        <v>#DIV/0!</v>
      </c>
      <c r="L2182" s="711"/>
      <c r="M2182" s="711"/>
    </row>
    <row r="2183" spans="1:13" ht="24.95" customHeight="1">
      <c r="A2183" s="456" t="s">
        <v>4721</v>
      </c>
      <c r="B2183" s="449" t="s">
        <v>4722</v>
      </c>
      <c r="C2183" s="1212"/>
      <c r="D2183" s="1212"/>
      <c r="E2183" s="1213" t="e">
        <f t="shared" si="290"/>
        <v>#DIV/0!</v>
      </c>
      <c r="F2183" s="1214"/>
      <c r="G2183" s="1214"/>
      <c r="H2183" s="1215" t="e">
        <f t="shared" si="291"/>
        <v>#DIV/0!</v>
      </c>
      <c r="I2183" s="1216">
        <f t="shared" si="289"/>
        <v>0</v>
      </c>
      <c r="J2183" s="860">
        <f t="shared" si="287"/>
        <v>0</v>
      </c>
      <c r="K2183" s="1217" t="e">
        <f t="shared" si="292"/>
        <v>#DIV/0!</v>
      </c>
      <c r="L2183" s="711"/>
      <c r="M2183" s="711"/>
    </row>
    <row r="2184" spans="1:13" ht="24.95" customHeight="1">
      <c r="A2184" s="456" t="s">
        <v>4723</v>
      </c>
      <c r="B2184" s="449" t="s">
        <v>4724</v>
      </c>
      <c r="C2184" s="1212"/>
      <c r="D2184" s="1212"/>
      <c r="E2184" s="1213" t="e">
        <f t="shared" si="290"/>
        <v>#DIV/0!</v>
      </c>
      <c r="F2184" s="1214"/>
      <c r="G2184" s="1214"/>
      <c r="H2184" s="1215" t="e">
        <f t="shared" si="291"/>
        <v>#DIV/0!</v>
      </c>
      <c r="I2184" s="1216">
        <f t="shared" si="289"/>
        <v>0</v>
      </c>
      <c r="J2184" s="860">
        <f t="shared" si="287"/>
        <v>0</v>
      </c>
      <c r="K2184" s="1217" t="e">
        <f t="shared" si="292"/>
        <v>#DIV/0!</v>
      </c>
      <c r="L2184" s="711"/>
      <c r="M2184" s="711"/>
    </row>
    <row r="2185" spans="1:13" ht="24.95" customHeight="1">
      <c r="A2185" s="456"/>
      <c r="B2185" s="449" t="s">
        <v>2</v>
      </c>
      <c r="C2185" s="1238">
        <f t="shared" ref="C2185:I2185" si="293">SUM(C2041:C2184)</f>
        <v>47</v>
      </c>
      <c r="D2185" s="1238">
        <f t="shared" si="293"/>
        <v>16</v>
      </c>
      <c r="E2185" s="1213">
        <f t="shared" si="290"/>
        <v>0.34042553191489361</v>
      </c>
      <c r="F2185" s="1238">
        <f t="shared" si="293"/>
        <v>622</v>
      </c>
      <c r="G2185" s="1238">
        <f t="shared" si="293"/>
        <v>212</v>
      </c>
      <c r="H2185" s="1215">
        <f t="shared" si="291"/>
        <v>0.34083601286173631</v>
      </c>
      <c r="I2185" s="1239">
        <f t="shared" si="293"/>
        <v>656</v>
      </c>
      <c r="J2185" s="860">
        <f t="shared" si="287"/>
        <v>228</v>
      </c>
      <c r="K2185" s="1217">
        <f t="shared" si="292"/>
        <v>0.34756097560975607</v>
      </c>
      <c r="L2185" s="711"/>
      <c r="M2185" s="711"/>
    </row>
    <row r="2186" spans="1:13" ht="24.95" customHeight="1">
      <c r="A2186" s="1240"/>
      <c r="B2186" s="1241" t="s">
        <v>4725</v>
      </c>
      <c r="C2186" s="2056"/>
      <c r="D2186" s="2056"/>
      <c r="E2186" s="2056"/>
      <c r="F2186" s="2056"/>
      <c r="G2186" s="2056"/>
      <c r="H2186" s="2056"/>
      <c r="I2186" s="2056"/>
      <c r="J2186" s="770"/>
      <c r="K2186" s="1217"/>
      <c r="L2186" s="711"/>
      <c r="M2186" s="711"/>
    </row>
    <row r="2187" spans="1:13" ht="24.95" customHeight="1">
      <c r="A2187" s="1240" t="s">
        <v>4726</v>
      </c>
      <c r="B2187" s="1219" t="s">
        <v>4727</v>
      </c>
      <c r="C2187" s="1242">
        <v>2</v>
      </c>
      <c r="D2187" s="1242">
        <v>1</v>
      </c>
      <c r="E2187" s="1243">
        <f>+D2187/C2187</f>
        <v>0.5</v>
      </c>
      <c r="F2187" s="1244"/>
      <c r="G2187" s="1244"/>
      <c r="H2187" s="1245" t="e">
        <f>+G2187/F2187</f>
        <v>#DIV/0!</v>
      </c>
      <c r="I2187" s="1216">
        <f t="shared" ref="I2187:J2213" si="294">+C2187+F2187</f>
        <v>2</v>
      </c>
      <c r="J2187" s="860">
        <f>+D2187+G2187</f>
        <v>1</v>
      </c>
      <c r="K2187" s="1217">
        <f>+J2187/I2187</f>
        <v>0.5</v>
      </c>
      <c r="L2187" s="711"/>
      <c r="M2187" s="711"/>
    </row>
    <row r="2188" spans="1:13" ht="24.95" customHeight="1">
      <c r="A2188" s="1221" t="s">
        <v>4728</v>
      </c>
      <c r="B2188" s="1246" t="s">
        <v>4729</v>
      </c>
      <c r="C2188" s="1212"/>
      <c r="D2188" s="1212"/>
      <c r="E2188" s="1243" t="e">
        <f t="shared" ref="E2188:E2251" si="295">+D2188/C2188</f>
        <v>#DIV/0!</v>
      </c>
      <c r="F2188" s="1214"/>
      <c r="G2188" s="1214"/>
      <c r="H2188" s="1245" t="e">
        <f t="shared" ref="H2188:H2251" si="296">+G2188/F2188</f>
        <v>#DIV/0!</v>
      </c>
      <c r="I2188" s="1216">
        <f t="shared" si="294"/>
        <v>0</v>
      </c>
      <c r="J2188" s="860">
        <f t="shared" si="294"/>
        <v>0</v>
      </c>
      <c r="K2188" s="1217" t="e">
        <f t="shared" ref="K2188:K2251" si="297">+J2188/I2188</f>
        <v>#DIV/0!</v>
      </c>
      <c r="L2188" s="711"/>
      <c r="M2188" s="711"/>
    </row>
    <row r="2189" spans="1:13" ht="24.95" customHeight="1">
      <c r="A2189" s="1221" t="s">
        <v>3557</v>
      </c>
      <c r="B2189" s="1247" t="s">
        <v>4115</v>
      </c>
      <c r="C2189" s="1212">
        <v>130</v>
      </c>
      <c r="D2189" s="1212">
        <v>34</v>
      </c>
      <c r="E2189" s="1243">
        <f t="shared" si="295"/>
        <v>0.26153846153846155</v>
      </c>
      <c r="F2189" s="1214">
        <v>5</v>
      </c>
      <c r="G2189" s="1214"/>
      <c r="H2189" s="1245">
        <f t="shared" si="296"/>
        <v>0</v>
      </c>
      <c r="I2189" s="1216">
        <f t="shared" si="294"/>
        <v>135</v>
      </c>
      <c r="J2189" s="860">
        <f t="shared" si="294"/>
        <v>34</v>
      </c>
      <c r="K2189" s="1217">
        <f t="shared" si="297"/>
        <v>0.25185185185185183</v>
      </c>
      <c r="L2189" s="711"/>
      <c r="M2189" s="711"/>
    </row>
    <row r="2190" spans="1:13" ht="24.95" customHeight="1">
      <c r="A2190" s="1221" t="s">
        <v>3559</v>
      </c>
      <c r="B2190" s="1247" t="s">
        <v>3560</v>
      </c>
      <c r="C2190" s="1212">
        <v>25</v>
      </c>
      <c r="D2190" s="1212">
        <v>13</v>
      </c>
      <c r="E2190" s="1243">
        <f t="shared" si="295"/>
        <v>0.52</v>
      </c>
      <c r="F2190" s="1214">
        <v>5</v>
      </c>
      <c r="G2190" s="1214">
        <v>1</v>
      </c>
      <c r="H2190" s="1245">
        <f t="shared" si="296"/>
        <v>0.2</v>
      </c>
      <c r="I2190" s="1216">
        <f t="shared" si="294"/>
        <v>30</v>
      </c>
      <c r="J2190" s="860">
        <f t="shared" si="294"/>
        <v>14</v>
      </c>
      <c r="K2190" s="1217">
        <f t="shared" si="297"/>
        <v>0.46666666666666667</v>
      </c>
      <c r="L2190" s="711"/>
      <c r="M2190" s="711"/>
    </row>
    <row r="2191" spans="1:13" ht="24.95" customHeight="1">
      <c r="A2191" s="1221" t="s">
        <v>3215</v>
      </c>
      <c r="B2191" s="1247" t="s">
        <v>4730</v>
      </c>
      <c r="C2191" s="1212">
        <v>2</v>
      </c>
      <c r="D2191" s="1212"/>
      <c r="E2191" s="1243">
        <f t="shared" si="295"/>
        <v>0</v>
      </c>
      <c r="F2191" s="1214">
        <v>3</v>
      </c>
      <c r="G2191" s="1214"/>
      <c r="H2191" s="1245">
        <f t="shared" si="296"/>
        <v>0</v>
      </c>
      <c r="I2191" s="1216">
        <f t="shared" si="294"/>
        <v>5</v>
      </c>
      <c r="J2191" s="860">
        <f t="shared" si="294"/>
        <v>0</v>
      </c>
      <c r="K2191" s="1217">
        <f t="shared" si="297"/>
        <v>0</v>
      </c>
      <c r="L2191" s="711"/>
      <c r="M2191" s="711"/>
    </row>
    <row r="2192" spans="1:13" ht="24.95" customHeight="1">
      <c r="A2192" s="1248" t="s">
        <v>3561</v>
      </c>
      <c r="B2192" s="1249" t="s">
        <v>3562</v>
      </c>
      <c r="C2192" s="1212"/>
      <c r="D2192" s="1212"/>
      <c r="E2192" s="1243" t="e">
        <f t="shared" si="295"/>
        <v>#DIV/0!</v>
      </c>
      <c r="F2192" s="1214"/>
      <c r="G2192" s="1214"/>
      <c r="H2192" s="1245" t="e">
        <f t="shared" si="296"/>
        <v>#DIV/0!</v>
      </c>
      <c r="I2192" s="1216">
        <f t="shared" si="294"/>
        <v>0</v>
      </c>
      <c r="J2192" s="860">
        <f t="shared" si="294"/>
        <v>0</v>
      </c>
      <c r="K2192" s="1217" t="e">
        <f t="shared" si="297"/>
        <v>#DIV/0!</v>
      </c>
      <c r="L2192" s="711"/>
      <c r="M2192" s="711"/>
    </row>
    <row r="2193" spans="1:13" ht="24.95" customHeight="1">
      <c r="A2193" s="1248" t="s">
        <v>3217</v>
      </c>
      <c r="B2193" s="1236" t="s">
        <v>3218</v>
      </c>
      <c r="C2193" s="1212">
        <v>1</v>
      </c>
      <c r="D2193" s="1212"/>
      <c r="E2193" s="1243">
        <f t="shared" si="295"/>
        <v>0</v>
      </c>
      <c r="F2193" s="1214"/>
      <c r="G2193" s="1214"/>
      <c r="H2193" s="1245" t="e">
        <f t="shared" si="296"/>
        <v>#DIV/0!</v>
      </c>
      <c r="I2193" s="1216">
        <f t="shared" si="294"/>
        <v>1</v>
      </c>
      <c r="J2193" s="860">
        <f t="shared" si="294"/>
        <v>0</v>
      </c>
      <c r="K2193" s="1217">
        <f t="shared" si="297"/>
        <v>0</v>
      </c>
      <c r="L2193" s="711"/>
      <c r="M2193" s="711"/>
    </row>
    <row r="2194" spans="1:13" ht="24.95" customHeight="1">
      <c r="A2194" s="1248" t="s">
        <v>3219</v>
      </c>
      <c r="B2194" s="1236" t="s">
        <v>4223</v>
      </c>
      <c r="C2194" s="1212">
        <v>1</v>
      </c>
      <c r="D2194" s="1212"/>
      <c r="E2194" s="1243">
        <f t="shared" si="295"/>
        <v>0</v>
      </c>
      <c r="F2194" s="1214"/>
      <c r="G2194" s="1214"/>
      <c r="H2194" s="1245" t="e">
        <f t="shared" si="296"/>
        <v>#DIV/0!</v>
      </c>
      <c r="I2194" s="1216">
        <f t="shared" si="294"/>
        <v>1</v>
      </c>
      <c r="J2194" s="860">
        <f t="shared" si="294"/>
        <v>0</v>
      </c>
      <c r="K2194" s="1217">
        <f t="shared" si="297"/>
        <v>0</v>
      </c>
      <c r="L2194" s="711"/>
      <c r="M2194" s="711"/>
    </row>
    <row r="2195" spans="1:13" ht="24.95" customHeight="1">
      <c r="A2195" s="1221" t="s">
        <v>3567</v>
      </c>
      <c r="B2195" s="1246" t="s">
        <v>3568</v>
      </c>
      <c r="C2195" s="1212"/>
      <c r="D2195" s="1212"/>
      <c r="E2195" s="1243" t="e">
        <f t="shared" si="295"/>
        <v>#DIV/0!</v>
      </c>
      <c r="F2195" s="1214">
        <v>2</v>
      </c>
      <c r="G2195" s="1214"/>
      <c r="H2195" s="1245">
        <f t="shared" si="296"/>
        <v>0</v>
      </c>
      <c r="I2195" s="1216">
        <f t="shared" si="294"/>
        <v>2</v>
      </c>
      <c r="J2195" s="860">
        <f t="shared" si="294"/>
        <v>0</v>
      </c>
      <c r="K2195" s="1217">
        <f t="shared" si="297"/>
        <v>0</v>
      </c>
      <c r="L2195" s="711"/>
      <c r="M2195" s="711"/>
    </row>
    <row r="2196" spans="1:13" ht="24.95" customHeight="1">
      <c r="A2196" s="1248" t="s">
        <v>3569</v>
      </c>
      <c r="B2196" s="1219" t="s">
        <v>3570</v>
      </c>
      <c r="C2196" s="1212">
        <v>370</v>
      </c>
      <c r="D2196" s="1212">
        <v>175</v>
      </c>
      <c r="E2196" s="1243">
        <f t="shared" si="295"/>
        <v>0.47297297297297297</v>
      </c>
      <c r="F2196" s="1214">
        <v>5</v>
      </c>
      <c r="G2196" s="1214"/>
      <c r="H2196" s="1245">
        <f t="shared" si="296"/>
        <v>0</v>
      </c>
      <c r="I2196" s="1216">
        <f t="shared" si="294"/>
        <v>375</v>
      </c>
      <c r="J2196" s="860">
        <f t="shared" si="294"/>
        <v>175</v>
      </c>
      <c r="K2196" s="1217">
        <f t="shared" si="297"/>
        <v>0.46666666666666667</v>
      </c>
      <c r="L2196" s="711"/>
      <c r="M2196" s="711"/>
    </row>
    <row r="2197" spans="1:13" ht="24.95" customHeight="1">
      <c r="A2197" s="1248" t="s">
        <v>4731</v>
      </c>
      <c r="B2197" s="1236" t="s">
        <v>4117</v>
      </c>
      <c r="C2197" s="1212">
        <v>2</v>
      </c>
      <c r="D2197" s="1212"/>
      <c r="E2197" s="1243">
        <f t="shared" si="295"/>
        <v>0</v>
      </c>
      <c r="F2197" s="1214"/>
      <c r="G2197" s="1214"/>
      <c r="H2197" s="1245" t="e">
        <f t="shared" si="296"/>
        <v>#DIV/0!</v>
      </c>
      <c r="I2197" s="1216">
        <f t="shared" si="294"/>
        <v>2</v>
      </c>
      <c r="J2197" s="860">
        <f t="shared" si="294"/>
        <v>0</v>
      </c>
      <c r="K2197" s="1217">
        <f t="shared" si="297"/>
        <v>0</v>
      </c>
      <c r="L2197" s="711"/>
      <c r="M2197" s="711"/>
    </row>
    <row r="2198" spans="1:13" ht="24.95" customHeight="1">
      <c r="A2198" s="1221" t="s">
        <v>3400</v>
      </c>
      <c r="B2198" s="1246" t="s">
        <v>3401</v>
      </c>
      <c r="C2198" s="1212">
        <v>280</v>
      </c>
      <c r="D2198" s="1212">
        <v>114</v>
      </c>
      <c r="E2198" s="1243">
        <f t="shared" si="295"/>
        <v>0.40714285714285714</v>
      </c>
      <c r="F2198" s="1214">
        <v>5</v>
      </c>
      <c r="G2198" s="1214">
        <v>2</v>
      </c>
      <c r="H2198" s="1245">
        <f t="shared" si="296"/>
        <v>0.4</v>
      </c>
      <c r="I2198" s="1216">
        <f t="shared" si="294"/>
        <v>285</v>
      </c>
      <c r="J2198" s="860">
        <f t="shared" si="294"/>
        <v>116</v>
      </c>
      <c r="K2198" s="1217">
        <f t="shared" si="297"/>
        <v>0.40701754385964911</v>
      </c>
      <c r="L2198" s="711"/>
      <c r="M2198" s="711"/>
    </row>
    <row r="2199" spans="1:13" ht="24.95" customHeight="1">
      <c r="A2199" s="1248" t="s">
        <v>3404</v>
      </c>
      <c r="B2199" s="1249" t="s">
        <v>3405</v>
      </c>
      <c r="C2199" s="1212">
        <v>2</v>
      </c>
      <c r="D2199" s="1212">
        <v>1</v>
      </c>
      <c r="E2199" s="1243">
        <f t="shared" si="295"/>
        <v>0.5</v>
      </c>
      <c r="F2199" s="1214"/>
      <c r="G2199" s="1214"/>
      <c r="H2199" s="1245" t="e">
        <f t="shared" si="296"/>
        <v>#DIV/0!</v>
      </c>
      <c r="I2199" s="1216">
        <f t="shared" si="294"/>
        <v>2</v>
      </c>
      <c r="J2199" s="860">
        <f t="shared" si="294"/>
        <v>1</v>
      </c>
      <c r="K2199" s="1217">
        <f t="shared" si="297"/>
        <v>0.5</v>
      </c>
      <c r="L2199" s="711"/>
      <c r="M2199" s="711"/>
    </row>
    <row r="2200" spans="1:13" ht="24.95" customHeight="1">
      <c r="A2200" s="1221" t="s">
        <v>3406</v>
      </c>
      <c r="B2200" s="1249" t="s">
        <v>3407</v>
      </c>
      <c r="C2200" s="1212">
        <v>3</v>
      </c>
      <c r="D2200" s="1212">
        <v>2</v>
      </c>
      <c r="E2200" s="1243">
        <f t="shared" si="295"/>
        <v>0.66666666666666663</v>
      </c>
      <c r="F2200" s="1214"/>
      <c r="G2200" s="1214"/>
      <c r="H2200" s="1245" t="e">
        <f t="shared" si="296"/>
        <v>#DIV/0!</v>
      </c>
      <c r="I2200" s="1216">
        <f t="shared" si="294"/>
        <v>3</v>
      </c>
      <c r="J2200" s="860">
        <f t="shared" si="294"/>
        <v>2</v>
      </c>
      <c r="K2200" s="1217">
        <f t="shared" si="297"/>
        <v>0.66666666666666663</v>
      </c>
      <c r="L2200" s="711"/>
      <c r="M2200" s="711"/>
    </row>
    <row r="2201" spans="1:13" ht="24.95" customHeight="1">
      <c r="A2201" s="1221" t="s">
        <v>3408</v>
      </c>
      <c r="B2201" s="1249" t="s">
        <v>3409</v>
      </c>
      <c r="C2201" s="1212">
        <v>5</v>
      </c>
      <c r="D2201" s="1212">
        <v>3</v>
      </c>
      <c r="E2201" s="1243">
        <f t="shared" si="295"/>
        <v>0.6</v>
      </c>
      <c r="F2201" s="1214"/>
      <c r="G2201" s="1214"/>
      <c r="H2201" s="1245" t="e">
        <f t="shared" si="296"/>
        <v>#DIV/0!</v>
      </c>
      <c r="I2201" s="1216">
        <f t="shared" si="294"/>
        <v>5</v>
      </c>
      <c r="J2201" s="860">
        <f t="shared" si="294"/>
        <v>3</v>
      </c>
      <c r="K2201" s="1217">
        <f t="shared" si="297"/>
        <v>0.6</v>
      </c>
      <c r="L2201" s="711"/>
      <c r="M2201" s="711"/>
    </row>
    <row r="2202" spans="1:13" ht="24.95" customHeight="1">
      <c r="A2202" s="1221" t="s">
        <v>3410</v>
      </c>
      <c r="B2202" s="1249" t="s">
        <v>4732</v>
      </c>
      <c r="C2202" s="1212">
        <v>1</v>
      </c>
      <c r="D2202" s="1212">
        <v>2</v>
      </c>
      <c r="E2202" s="1243">
        <f t="shared" si="295"/>
        <v>2</v>
      </c>
      <c r="F2202" s="1214"/>
      <c r="G2202" s="1214"/>
      <c r="H2202" s="1245" t="e">
        <f t="shared" si="296"/>
        <v>#DIV/0!</v>
      </c>
      <c r="I2202" s="1216">
        <f t="shared" si="294"/>
        <v>1</v>
      </c>
      <c r="J2202" s="860">
        <f t="shared" si="294"/>
        <v>2</v>
      </c>
      <c r="K2202" s="1217">
        <f t="shared" si="297"/>
        <v>2</v>
      </c>
      <c r="L2202" s="711"/>
      <c r="M2202" s="711"/>
    </row>
    <row r="2203" spans="1:13" ht="24.95" customHeight="1">
      <c r="A2203" s="1221" t="s">
        <v>4733</v>
      </c>
      <c r="B2203" s="1246" t="s">
        <v>4734</v>
      </c>
      <c r="C2203" s="1212">
        <v>25</v>
      </c>
      <c r="D2203" s="1212">
        <v>9</v>
      </c>
      <c r="E2203" s="1243">
        <f t="shared" si="295"/>
        <v>0.36</v>
      </c>
      <c r="F2203" s="1214"/>
      <c r="G2203" s="1214"/>
      <c r="H2203" s="1245" t="e">
        <f t="shared" si="296"/>
        <v>#DIV/0!</v>
      </c>
      <c r="I2203" s="1216">
        <f t="shared" si="294"/>
        <v>25</v>
      </c>
      <c r="J2203" s="860">
        <f t="shared" si="294"/>
        <v>9</v>
      </c>
      <c r="K2203" s="1217">
        <f t="shared" si="297"/>
        <v>0.36</v>
      </c>
      <c r="L2203" s="711"/>
      <c r="M2203" s="711"/>
    </row>
    <row r="2204" spans="1:13" ht="24.95" customHeight="1">
      <c r="A2204" s="1248" t="s">
        <v>2823</v>
      </c>
      <c r="B2204" s="1249" t="s">
        <v>2824</v>
      </c>
      <c r="C2204" s="1212">
        <v>3</v>
      </c>
      <c r="D2204" s="1212">
        <v>1</v>
      </c>
      <c r="E2204" s="1243">
        <f t="shared" si="295"/>
        <v>0.33333333333333331</v>
      </c>
      <c r="F2204" s="1214"/>
      <c r="G2204" s="1214"/>
      <c r="H2204" s="1245" t="e">
        <f t="shared" si="296"/>
        <v>#DIV/0!</v>
      </c>
      <c r="I2204" s="1216">
        <f t="shared" si="294"/>
        <v>3</v>
      </c>
      <c r="J2204" s="860">
        <f t="shared" si="294"/>
        <v>1</v>
      </c>
      <c r="K2204" s="1217">
        <f t="shared" si="297"/>
        <v>0.33333333333333331</v>
      </c>
      <c r="L2204" s="711"/>
      <c r="M2204" s="711"/>
    </row>
    <row r="2205" spans="1:13" ht="24.95" customHeight="1">
      <c r="A2205" s="1221" t="s">
        <v>3412</v>
      </c>
      <c r="B2205" s="1246" t="s">
        <v>4735</v>
      </c>
      <c r="C2205" s="1212">
        <v>20</v>
      </c>
      <c r="D2205" s="1212">
        <v>14</v>
      </c>
      <c r="E2205" s="1243">
        <f t="shared" si="295"/>
        <v>0.7</v>
      </c>
      <c r="F2205" s="1214"/>
      <c r="G2205" s="1214"/>
      <c r="H2205" s="1245" t="e">
        <f t="shared" si="296"/>
        <v>#DIV/0!</v>
      </c>
      <c r="I2205" s="1216">
        <f t="shared" si="294"/>
        <v>20</v>
      </c>
      <c r="J2205" s="860">
        <f t="shared" si="294"/>
        <v>14</v>
      </c>
      <c r="K2205" s="1217">
        <f t="shared" si="297"/>
        <v>0.7</v>
      </c>
      <c r="L2205" s="711"/>
      <c r="M2205" s="711"/>
    </row>
    <row r="2206" spans="1:13" ht="24.95" customHeight="1">
      <c r="A2206" s="1221" t="s">
        <v>3414</v>
      </c>
      <c r="B2206" s="1246" t="s">
        <v>3415</v>
      </c>
      <c r="C2206" s="1212">
        <v>20</v>
      </c>
      <c r="D2206" s="1212">
        <v>7</v>
      </c>
      <c r="E2206" s="1243">
        <f t="shared" si="295"/>
        <v>0.35</v>
      </c>
      <c r="F2206" s="1214"/>
      <c r="G2206" s="1214"/>
      <c r="H2206" s="1245" t="e">
        <f t="shared" si="296"/>
        <v>#DIV/0!</v>
      </c>
      <c r="I2206" s="1216">
        <f t="shared" si="294"/>
        <v>20</v>
      </c>
      <c r="J2206" s="860">
        <f t="shared" si="294"/>
        <v>7</v>
      </c>
      <c r="K2206" s="1217">
        <f t="shared" si="297"/>
        <v>0.35</v>
      </c>
      <c r="L2206" s="711"/>
      <c r="M2206" s="711"/>
    </row>
    <row r="2207" spans="1:13" ht="24.95" customHeight="1">
      <c r="A2207" s="1248" t="s">
        <v>4736</v>
      </c>
      <c r="B2207" s="1249" t="s">
        <v>4737</v>
      </c>
      <c r="C2207" s="1212">
        <v>20</v>
      </c>
      <c r="D2207" s="1212">
        <v>14</v>
      </c>
      <c r="E2207" s="1243">
        <f t="shared" si="295"/>
        <v>0.7</v>
      </c>
      <c r="F2207" s="1214"/>
      <c r="G2207" s="1214"/>
      <c r="H2207" s="1245" t="e">
        <f t="shared" si="296"/>
        <v>#DIV/0!</v>
      </c>
      <c r="I2207" s="1216">
        <f t="shared" si="294"/>
        <v>20</v>
      </c>
      <c r="J2207" s="860">
        <f t="shared" si="294"/>
        <v>14</v>
      </c>
      <c r="K2207" s="1217">
        <f t="shared" si="297"/>
        <v>0.7</v>
      </c>
      <c r="L2207" s="711"/>
      <c r="M2207" s="711"/>
    </row>
    <row r="2208" spans="1:13" ht="24.95" customHeight="1">
      <c r="A2208" s="1248" t="s">
        <v>4446</v>
      </c>
      <c r="B2208" s="1249" t="s">
        <v>4447</v>
      </c>
      <c r="C2208" s="1212">
        <v>35</v>
      </c>
      <c r="D2208" s="1212">
        <v>21</v>
      </c>
      <c r="E2208" s="1243">
        <f t="shared" si="295"/>
        <v>0.6</v>
      </c>
      <c r="F2208" s="1214">
        <v>2</v>
      </c>
      <c r="G2208" s="1214"/>
      <c r="H2208" s="1245">
        <f t="shared" si="296"/>
        <v>0</v>
      </c>
      <c r="I2208" s="1216">
        <f t="shared" si="294"/>
        <v>37</v>
      </c>
      <c r="J2208" s="860">
        <f t="shared" si="294"/>
        <v>21</v>
      </c>
      <c r="K2208" s="1217">
        <f t="shared" si="297"/>
        <v>0.56756756756756754</v>
      </c>
      <c r="L2208" s="711"/>
      <c r="M2208" s="711"/>
    </row>
    <row r="2209" spans="1:13" ht="24.95" customHeight="1">
      <c r="A2209" s="1248" t="s">
        <v>4738</v>
      </c>
      <c r="B2209" s="1249" t="s">
        <v>4739</v>
      </c>
      <c r="C2209" s="1212">
        <v>5</v>
      </c>
      <c r="D2209" s="1212">
        <v>4</v>
      </c>
      <c r="E2209" s="1243">
        <f t="shared" si="295"/>
        <v>0.8</v>
      </c>
      <c r="F2209" s="1214">
        <v>1</v>
      </c>
      <c r="G2209" s="1214"/>
      <c r="H2209" s="1245">
        <f t="shared" si="296"/>
        <v>0</v>
      </c>
      <c r="I2209" s="1216">
        <f t="shared" si="294"/>
        <v>6</v>
      </c>
      <c r="J2209" s="860">
        <f t="shared" si="294"/>
        <v>4</v>
      </c>
      <c r="K2209" s="1217">
        <f t="shared" si="297"/>
        <v>0.66666666666666663</v>
      </c>
      <c r="L2209" s="711"/>
      <c r="M2209" s="711"/>
    </row>
    <row r="2210" spans="1:13" ht="24.95" customHeight="1">
      <c r="A2210" s="1234" t="s">
        <v>4740</v>
      </c>
      <c r="B2210" s="1237" t="s">
        <v>4741</v>
      </c>
      <c r="C2210" s="1212"/>
      <c r="D2210" s="1212">
        <v>1</v>
      </c>
      <c r="E2210" s="1243" t="e">
        <f t="shared" si="295"/>
        <v>#DIV/0!</v>
      </c>
      <c r="F2210" s="1214">
        <v>1</v>
      </c>
      <c r="G2210" s="1214"/>
      <c r="H2210" s="1245">
        <f t="shared" si="296"/>
        <v>0</v>
      </c>
      <c r="I2210" s="1216">
        <f t="shared" si="294"/>
        <v>1</v>
      </c>
      <c r="J2210" s="860">
        <f t="shared" si="294"/>
        <v>1</v>
      </c>
      <c r="K2210" s="1217">
        <f t="shared" si="297"/>
        <v>1</v>
      </c>
      <c r="L2210" s="711"/>
      <c r="M2210" s="711"/>
    </row>
    <row r="2211" spans="1:13" ht="24.95" customHeight="1">
      <c r="A2211" s="1235" t="s">
        <v>4742</v>
      </c>
      <c r="B2211" s="1236" t="s">
        <v>4743</v>
      </c>
      <c r="C2211" s="1212">
        <v>5</v>
      </c>
      <c r="D2211" s="1212">
        <v>2</v>
      </c>
      <c r="E2211" s="1243">
        <f t="shared" si="295"/>
        <v>0.4</v>
      </c>
      <c r="F2211" s="1214"/>
      <c r="G2211" s="1214"/>
      <c r="H2211" s="1245" t="e">
        <f t="shared" si="296"/>
        <v>#DIV/0!</v>
      </c>
      <c r="I2211" s="1216">
        <f t="shared" si="294"/>
        <v>5</v>
      </c>
      <c r="J2211" s="860">
        <f t="shared" si="294"/>
        <v>2</v>
      </c>
      <c r="K2211" s="1217">
        <f t="shared" si="297"/>
        <v>0.4</v>
      </c>
      <c r="L2211" s="711"/>
      <c r="M2211" s="711"/>
    </row>
    <row r="2212" spans="1:13" ht="24.95" customHeight="1">
      <c r="A2212" s="1250" t="s">
        <v>4744</v>
      </c>
      <c r="B2212" s="1251" t="s">
        <v>4745</v>
      </c>
      <c r="C2212" s="1212">
        <v>1</v>
      </c>
      <c r="D2212" s="1212"/>
      <c r="E2212" s="1243">
        <f t="shared" si="295"/>
        <v>0</v>
      </c>
      <c r="F2212" s="1214"/>
      <c r="G2212" s="1214"/>
      <c r="H2212" s="1245" t="e">
        <f t="shared" si="296"/>
        <v>#DIV/0!</v>
      </c>
      <c r="I2212" s="1216">
        <f t="shared" si="294"/>
        <v>1</v>
      </c>
      <c r="J2212" s="860">
        <f t="shared" si="294"/>
        <v>0</v>
      </c>
      <c r="K2212" s="1217">
        <f t="shared" si="297"/>
        <v>0</v>
      </c>
      <c r="L2212" s="711"/>
      <c r="M2212" s="711"/>
    </row>
    <row r="2213" spans="1:13" ht="24.95" customHeight="1">
      <c r="A2213" s="1250" t="s">
        <v>4746</v>
      </c>
      <c r="B2213" s="1251" t="s">
        <v>4747</v>
      </c>
      <c r="C2213" s="1212">
        <v>25</v>
      </c>
      <c r="D2213" s="1212">
        <v>11</v>
      </c>
      <c r="E2213" s="1243">
        <f t="shared" si="295"/>
        <v>0.44</v>
      </c>
      <c r="F2213" s="1214">
        <v>15</v>
      </c>
      <c r="G2213" s="1214"/>
      <c r="H2213" s="1245">
        <f t="shared" si="296"/>
        <v>0</v>
      </c>
      <c r="I2213" s="1216">
        <f t="shared" si="294"/>
        <v>40</v>
      </c>
      <c r="J2213" s="860">
        <f t="shared" si="294"/>
        <v>11</v>
      </c>
      <c r="K2213" s="1217">
        <f t="shared" si="297"/>
        <v>0.27500000000000002</v>
      </c>
      <c r="L2213" s="711"/>
      <c r="M2213" s="711"/>
    </row>
    <row r="2214" spans="1:13" ht="24.95" customHeight="1">
      <c r="A2214" s="1250" t="s">
        <v>4748</v>
      </c>
      <c r="B2214" s="1251" t="s">
        <v>4749</v>
      </c>
      <c r="C2214" s="1212">
        <v>2</v>
      </c>
      <c r="D2214" s="1212">
        <v>1</v>
      </c>
      <c r="E2214" s="1243">
        <f t="shared" si="295"/>
        <v>0.5</v>
      </c>
      <c r="F2214" s="1214"/>
      <c r="G2214" s="1214"/>
      <c r="H2214" s="1245" t="e">
        <f t="shared" si="296"/>
        <v>#DIV/0!</v>
      </c>
      <c r="I2214" s="1216"/>
      <c r="J2214" s="860">
        <f t="shared" ref="J2214:J2277" si="298">+D2214+G2214</f>
        <v>1</v>
      </c>
      <c r="K2214" s="1217" t="e">
        <f t="shared" si="297"/>
        <v>#DIV/0!</v>
      </c>
      <c r="L2214" s="711"/>
      <c r="M2214" s="711"/>
    </row>
    <row r="2215" spans="1:13" ht="24.95" customHeight="1">
      <c r="A2215" s="1250" t="s">
        <v>4750</v>
      </c>
      <c r="B2215" s="1236" t="s">
        <v>4751</v>
      </c>
      <c r="C2215" s="1212">
        <v>1</v>
      </c>
      <c r="D2215" s="1212"/>
      <c r="E2215" s="1243">
        <f t="shared" si="295"/>
        <v>0</v>
      </c>
      <c r="F2215" s="1214">
        <v>15</v>
      </c>
      <c r="G2215" s="1214"/>
      <c r="H2215" s="1245">
        <f t="shared" si="296"/>
        <v>0</v>
      </c>
      <c r="I2215" s="1216">
        <f t="shared" ref="I2215:I2247" si="299">+C2215+F2215</f>
        <v>16</v>
      </c>
      <c r="J2215" s="860">
        <f t="shared" si="298"/>
        <v>0</v>
      </c>
      <c r="K2215" s="1217">
        <f t="shared" si="297"/>
        <v>0</v>
      </c>
      <c r="L2215" s="711"/>
      <c r="M2215" s="711"/>
    </row>
    <row r="2216" spans="1:13" s="711" customFormat="1" ht="24.95" customHeight="1">
      <c r="A2216" s="1235" t="s">
        <v>4752</v>
      </c>
      <c r="B2216" s="1236" t="s">
        <v>4753</v>
      </c>
      <c r="C2216" s="1252">
        <v>5</v>
      </c>
      <c r="D2216" s="1252"/>
      <c r="E2216" s="1243">
        <f t="shared" si="295"/>
        <v>0</v>
      </c>
      <c r="F2216" s="1253"/>
      <c r="G2216" s="1253"/>
      <c r="H2216" s="1245" t="e">
        <f t="shared" si="296"/>
        <v>#DIV/0!</v>
      </c>
      <c r="I2216" s="1216">
        <f t="shared" si="299"/>
        <v>5</v>
      </c>
      <c r="J2216" s="860">
        <f t="shared" si="298"/>
        <v>0</v>
      </c>
      <c r="K2216" s="1217">
        <f t="shared" si="297"/>
        <v>0</v>
      </c>
    </row>
    <row r="2217" spans="1:13" ht="24.95" customHeight="1">
      <c r="A2217" s="1221" t="s">
        <v>3439</v>
      </c>
      <c r="B2217" s="1246" t="s">
        <v>3440</v>
      </c>
      <c r="C2217" s="1212">
        <v>5</v>
      </c>
      <c r="D2217" s="1212">
        <v>3</v>
      </c>
      <c r="E2217" s="1243">
        <f t="shared" si="295"/>
        <v>0.6</v>
      </c>
      <c r="F2217" s="1214"/>
      <c r="G2217" s="1214"/>
      <c r="H2217" s="1245" t="e">
        <f t="shared" si="296"/>
        <v>#DIV/0!</v>
      </c>
      <c r="I2217" s="1216">
        <f t="shared" si="299"/>
        <v>5</v>
      </c>
      <c r="J2217" s="860">
        <f t="shared" si="298"/>
        <v>3</v>
      </c>
      <c r="K2217" s="1217">
        <f t="shared" si="297"/>
        <v>0.6</v>
      </c>
      <c r="L2217" s="711"/>
      <c r="M2217" s="711"/>
    </row>
    <row r="2218" spans="1:13" ht="24.95" customHeight="1">
      <c r="A2218" s="1248" t="s">
        <v>3441</v>
      </c>
      <c r="B2218" s="1249" t="s">
        <v>4754</v>
      </c>
      <c r="C2218" s="1212"/>
      <c r="D2218" s="1212">
        <v>3</v>
      </c>
      <c r="E2218" s="1243" t="e">
        <f t="shared" si="295"/>
        <v>#DIV/0!</v>
      </c>
      <c r="F2218" s="1214">
        <v>2</v>
      </c>
      <c r="G2218" s="1214"/>
      <c r="H2218" s="1245">
        <f t="shared" si="296"/>
        <v>0</v>
      </c>
      <c r="I2218" s="1216">
        <f t="shared" si="299"/>
        <v>2</v>
      </c>
      <c r="J2218" s="860">
        <f t="shared" si="298"/>
        <v>3</v>
      </c>
      <c r="K2218" s="1217">
        <f t="shared" si="297"/>
        <v>1.5</v>
      </c>
      <c r="L2218" s="711"/>
      <c r="M2218" s="711"/>
    </row>
    <row r="2219" spans="1:13" s="711" customFormat="1" ht="24.95" customHeight="1">
      <c r="A2219" s="1234" t="s">
        <v>3443</v>
      </c>
      <c r="B2219" s="1237" t="s">
        <v>3444</v>
      </c>
      <c r="C2219" s="1252">
        <v>2</v>
      </c>
      <c r="D2219" s="1252"/>
      <c r="E2219" s="1243">
        <f t="shared" si="295"/>
        <v>0</v>
      </c>
      <c r="F2219" s="1253"/>
      <c r="G2219" s="1253"/>
      <c r="H2219" s="1245" t="e">
        <f t="shared" si="296"/>
        <v>#DIV/0!</v>
      </c>
      <c r="I2219" s="1216">
        <f t="shared" si="299"/>
        <v>2</v>
      </c>
      <c r="J2219" s="860">
        <f t="shared" si="298"/>
        <v>0</v>
      </c>
      <c r="K2219" s="1217">
        <f t="shared" si="297"/>
        <v>0</v>
      </c>
    </row>
    <row r="2220" spans="1:13" ht="24.95" customHeight="1">
      <c r="A2220" s="1248" t="s">
        <v>3445</v>
      </c>
      <c r="B2220" s="1249" t="s">
        <v>4755</v>
      </c>
      <c r="C2220" s="1212">
        <v>1</v>
      </c>
      <c r="D2220" s="1212">
        <v>1</v>
      </c>
      <c r="E2220" s="1243">
        <f t="shared" si="295"/>
        <v>1</v>
      </c>
      <c r="F2220" s="1214"/>
      <c r="G2220" s="1214"/>
      <c r="H2220" s="1245" t="e">
        <f t="shared" si="296"/>
        <v>#DIV/0!</v>
      </c>
      <c r="I2220" s="1216">
        <f t="shared" si="299"/>
        <v>1</v>
      </c>
      <c r="J2220" s="860">
        <f t="shared" si="298"/>
        <v>1</v>
      </c>
      <c r="K2220" s="1217">
        <f t="shared" si="297"/>
        <v>1</v>
      </c>
      <c r="L2220" s="711"/>
      <c r="M2220" s="711"/>
    </row>
    <row r="2221" spans="1:13" ht="24.95" customHeight="1">
      <c r="A2221" s="1248" t="s">
        <v>3447</v>
      </c>
      <c r="B2221" s="1249" t="s">
        <v>4756</v>
      </c>
      <c r="C2221" s="1212">
        <v>1</v>
      </c>
      <c r="D2221" s="1212">
        <v>1</v>
      </c>
      <c r="E2221" s="1243">
        <f t="shared" si="295"/>
        <v>1</v>
      </c>
      <c r="F2221" s="1214"/>
      <c r="G2221" s="1214"/>
      <c r="H2221" s="1245" t="e">
        <f t="shared" si="296"/>
        <v>#DIV/0!</v>
      </c>
      <c r="I2221" s="1216">
        <f t="shared" si="299"/>
        <v>1</v>
      </c>
      <c r="J2221" s="860">
        <f t="shared" si="298"/>
        <v>1</v>
      </c>
      <c r="K2221" s="1217">
        <f t="shared" si="297"/>
        <v>1</v>
      </c>
      <c r="L2221" s="711"/>
      <c r="M2221" s="711"/>
    </row>
    <row r="2222" spans="1:13" ht="24.95" customHeight="1">
      <c r="A2222" s="1248" t="s">
        <v>3449</v>
      </c>
      <c r="B2222" s="1249" t="s">
        <v>4757</v>
      </c>
      <c r="C2222" s="1212">
        <v>1</v>
      </c>
      <c r="D2222" s="1212"/>
      <c r="E2222" s="1243">
        <f t="shared" si="295"/>
        <v>0</v>
      </c>
      <c r="F2222" s="1214"/>
      <c r="G2222" s="1214"/>
      <c r="H2222" s="1245" t="e">
        <f t="shared" si="296"/>
        <v>#DIV/0!</v>
      </c>
      <c r="I2222" s="1216">
        <f t="shared" si="299"/>
        <v>1</v>
      </c>
      <c r="J2222" s="860">
        <f t="shared" si="298"/>
        <v>0</v>
      </c>
      <c r="K2222" s="1217">
        <f t="shared" si="297"/>
        <v>0</v>
      </c>
      <c r="L2222" s="711"/>
      <c r="M2222" s="711"/>
    </row>
    <row r="2223" spans="1:13" ht="24.95" customHeight="1">
      <c r="A2223" s="1221" t="s">
        <v>4758</v>
      </c>
      <c r="B2223" s="1246" t="s">
        <v>4759</v>
      </c>
      <c r="C2223" s="1212">
        <v>5</v>
      </c>
      <c r="D2223" s="1212">
        <v>3</v>
      </c>
      <c r="E2223" s="1243">
        <f t="shared" si="295"/>
        <v>0.6</v>
      </c>
      <c r="F2223" s="1214"/>
      <c r="G2223" s="1214"/>
      <c r="H2223" s="1245" t="e">
        <f t="shared" si="296"/>
        <v>#DIV/0!</v>
      </c>
      <c r="I2223" s="1216">
        <f t="shared" si="299"/>
        <v>5</v>
      </c>
      <c r="J2223" s="860">
        <f t="shared" si="298"/>
        <v>3</v>
      </c>
      <c r="K2223" s="1217">
        <f t="shared" si="297"/>
        <v>0.6</v>
      </c>
      <c r="L2223" s="711"/>
      <c r="M2223" s="711"/>
    </row>
    <row r="2224" spans="1:13" ht="24.95" customHeight="1">
      <c r="A2224" s="1221" t="s">
        <v>4124</v>
      </c>
      <c r="B2224" s="1246" t="s">
        <v>4760</v>
      </c>
      <c r="C2224" s="1212">
        <v>3</v>
      </c>
      <c r="D2224" s="1212">
        <v>3</v>
      </c>
      <c r="E2224" s="1243">
        <f t="shared" si="295"/>
        <v>1</v>
      </c>
      <c r="F2224" s="1214"/>
      <c r="G2224" s="1214"/>
      <c r="H2224" s="1245" t="e">
        <f t="shared" si="296"/>
        <v>#DIV/0!</v>
      </c>
      <c r="I2224" s="1216">
        <f t="shared" si="299"/>
        <v>3</v>
      </c>
      <c r="J2224" s="860">
        <f t="shared" si="298"/>
        <v>3</v>
      </c>
      <c r="K2224" s="1217">
        <f t="shared" si="297"/>
        <v>1</v>
      </c>
      <c r="L2224" s="711"/>
      <c r="M2224" s="711"/>
    </row>
    <row r="2225" spans="1:13" ht="24.95" customHeight="1">
      <c r="A2225" s="1248" t="s">
        <v>4126</v>
      </c>
      <c r="B2225" s="1249" t="s">
        <v>4761</v>
      </c>
      <c r="C2225" s="1212">
        <v>25</v>
      </c>
      <c r="D2225" s="1212">
        <v>8</v>
      </c>
      <c r="E2225" s="1243">
        <f t="shared" si="295"/>
        <v>0.32</v>
      </c>
      <c r="F2225" s="1214">
        <v>5</v>
      </c>
      <c r="G2225" s="1214"/>
      <c r="H2225" s="1245">
        <f t="shared" si="296"/>
        <v>0</v>
      </c>
      <c r="I2225" s="1216">
        <f t="shared" si="299"/>
        <v>30</v>
      </c>
      <c r="J2225" s="860">
        <f t="shared" si="298"/>
        <v>8</v>
      </c>
      <c r="K2225" s="1217">
        <f t="shared" si="297"/>
        <v>0.26666666666666666</v>
      </c>
      <c r="L2225" s="711"/>
      <c r="M2225" s="711"/>
    </row>
    <row r="2226" spans="1:13" ht="24.95" customHeight="1">
      <c r="A2226" s="1248" t="s">
        <v>4762</v>
      </c>
      <c r="B2226" s="1249" t="s">
        <v>4763</v>
      </c>
      <c r="C2226" s="1212"/>
      <c r="D2226" s="1212"/>
      <c r="E2226" s="1243" t="e">
        <f t="shared" si="295"/>
        <v>#DIV/0!</v>
      </c>
      <c r="F2226" s="1214"/>
      <c r="G2226" s="1214"/>
      <c r="H2226" s="1245" t="e">
        <f t="shared" si="296"/>
        <v>#DIV/0!</v>
      </c>
      <c r="I2226" s="1216">
        <f t="shared" si="299"/>
        <v>0</v>
      </c>
      <c r="J2226" s="860">
        <f t="shared" si="298"/>
        <v>0</v>
      </c>
      <c r="K2226" s="1217" t="e">
        <f t="shared" si="297"/>
        <v>#DIV/0!</v>
      </c>
      <c r="L2226" s="711"/>
      <c r="M2226" s="711"/>
    </row>
    <row r="2227" spans="1:13" ht="24.95" customHeight="1">
      <c r="A2227" s="1248" t="s">
        <v>3451</v>
      </c>
      <c r="B2227" s="1249" t="s">
        <v>4764</v>
      </c>
      <c r="C2227" s="1212">
        <v>2</v>
      </c>
      <c r="D2227" s="1212">
        <v>1</v>
      </c>
      <c r="E2227" s="1243">
        <f t="shared" si="295"/>
        <v>0.5</v>
      </c>
      <c r="F2227" s="1214"/>
      <c r="G2227" s="1214"/>
      <c r="H2227" s="1245" t="e">
        <f t="shared" si="296"/>
        <v>#DIV/0!</v>
      </c>
      <c r="I2227" s="1216">
        <f t="shared" si="299"/>
        <v>2</v>
      </c>
      <c r="J2227" s="860">
        <f t="shared" si="298"/>
        <v>1</v>
      </c>
      <c r="K2227" s="1217">
        <f t="shared" si="297"/>
        <v>0.5</v>
      </c>
      <c r="L2227" s="711"/>
      <c r="M2227" s="711"/>
    </row>
    <row r="2228" spans="1:13" ht="24.95" customHeight="1">
      <c r="A2228" s="1248" t="s">
        <v>4765</v>
      </c>
      <c r="B2228" s="1247" t="s">
        <v>4766</v>
      </c>
      <c r="C2228" s="1212">
        <v>1</v>
      </c>
      <c r="D2228" s="1212"/>
      <c r="E2228" s="1243">
        <f t="shared" si="295"/>
        <v>0</v>
      </c>
      <c r="F2228" s="1214"/>
      <c r="G2228" s="1214"/>
      <c r="H2228" s="1245" t="e">
        <f t="shared" si="296"/>
        <v>#DIV/0!</v>
      </c>
      <c r="I2228" s="1216">
        <f t="shared" si="299"/>
        <v>1</v>
      </c>
      <c r="J2228" s="860">
        <f t="shared" si="298"/>
        <v>0</v>
      </c>
      <c r="K2228" s="1217">
        <f t="shared" si="297"/>
        <v>0</v>
      </c>
      <c r="L2228" s="711"/>
      <c r="M2228" s="711"/>
    </row>
    <row r="2229" spans="1:13" ht="24.95" customHeight="1">
      <c r="A2229" s="1248" t="s">
        <v>4767</v>
      </c>
      <c r="B2229" s="1247" t="s">
        <v>4768</v>
      </c>
      <c r="C2229" s="1212">
        <v>1</v>
      </c>
      <c r="D2229" s="1212"/>
      <c r="E2229" s="1243">
        <f t="shared" si="295"/>
        <v>0</v>
      </c>
      <c r="F2229" s="1214"/>
      <c r="G2229" s="1214"/>
      <c r="H2229" s="1245" t="e">
        <f t="shared" si="296"/>
        <v>#DIV/0!</v>
      </c>
      <c r="I2229" s="1216">
        <f t="shared" si="299"/>
        <v>1</v>
      </c>
      <c r="J2229" s="860">
        <f t="shared" si="298"/>
        <v>0</v>
      </c>
      <c r="K2229" s="1217">
        <f t="shared" si="297"/>
        <v>0</v>
      </c>
      <c r="L2229" s="711"/>
      <c r="M2229" s="711"/>
    </row>
    <row r="2230" spans="1:13" ht="24.95" customHeight="1">
      <c r="A2230" s="1221" t="s">
        <v>4769</v>
      </c>
      <c r="B2230" s="1246" t="s">
        <v>4770</v>
      </c>
      <c r="C2230" s="1212">
        <v>5</v>
      </c>
      <c r="D2230" s="1212">
        <v>4</v>
      </c>
      <c r="E2230" s="1243">
        <f t="shared" si="295"/>
        <v>0.8</v>
      </c>
      <c r="F2230" s="1214">
        <v>2</v>
      </c>
      <c r="G2230" s="1214"/>
      <c r="H2230" s="1245">
        <f t="shared" si="296"/>
        <v>0</v>
      </c>
      <c r="I2230" s="1216">
        <f t="shared" si="299"/>
        <v>7</v>
      </c>
      <c r="J2230" s="860">
        <f t="shared" si="298"/>
        <v>4</v>
      </c>
      <c r="K2230" s="1217">
        <f t="shared" si="297"/>
        <v>0.5714285714285714</v>
      </c>
      <c r="L2230" s="711"/>
      <c r="M2230" s="711"/>
    </row>
    <row r="2231" spans="1:13" ht="24.95" customHeight="1">
      <c r="A2231" s="1221" t="s">
        <v>4771</v>
      </c>
      <c r="B2231" s="1246" t="s">
        <v>4772</v>
      </c>
      <c r="C2231" s="1212"/>
      <c r="D2231" s="1212">
        <v>1</v>
      </c>
      <c r="E2231" s="1243" t="e">
        <f t="shared" si="295"/>
        <v>#DIV/0!</v>
      </c>
      <c r="F2231" s="1214">
        <v>2</v>
      </c>
      <c r="G2231" s="1214">
        <v>1</v>
      </c>
      <c r="H2231" s="1245">
        <f t="shared" si="296"/>
        <v>0.5</v>
      </c>
      <c r="I2231" s="1216">
        <f t="shared" si="299"/>
        <v>2</v>
      </c>
      <c r="J2231" s="860">
        <f t="shared" si="298"/>
        <v>2</v>
      </c>
      <c r="K2231" s="1217">
        <f t="shared" si="297"/>
        <v>1</v>
      </c>
      <c r="L2231" s="711"/>
      <c r="M2231" s="711"/>
    </row>
    <row r="2232" spans="1:13" ht="24.95" customHeight="1">
      <c r="A2232" s="1221" t="s">
        <v>4773</v>
      </c>
      <c r="B2232" s="1246" t="s">
        <v>4774</v>
      </c>
      <c r="C2232" s="1212"/>
      <c r="D2232" s="1212"/>
      <c r="E2232" s="1243" t="e">
        <f t="shared" si="295"/>
        <v>#DIV/0!</v>
      </c>
      <c r="F2232" s="1214"/>
      <c r="G2232" s="1214"/>
      <c r="H2232" s="1245" t="e">
        <f t="shared" si="296"/>
        <v>#DIV/0!</v>
      </c>
      <c r="I2232" s="1216">
        <f t="shared" si="299"/>
        <v>0</v>
      </c>
      <c r="J2232" s="860">
        <f t="shared" si="298"/>
        <v>0</v>
      </c>
      <c r="K2232" s="1217" t="e">
        <f t="shared" si="297"/>
        <v>#DIV/0!</v>
      </c>
      <c r="L2232" s="711"/>
      <c r="M2232" s="711"/>
    </row>
    <row r="2233" spans="1:13" ht="24.95" customHeight="1">
      <c r="A2233" s="1221" t="s">
        <v>4775</v>
      </c>
      <c r="B2233" s="1246" t="s">
        <v>4776</v>
      </c>
      <c r="C2233" s="1212"/>
      <c r="D2233" s="1212"/>
      <c r="E2233" s="1243" t="e">
        <f t="shared" si="295"/>
        <v>#DIV/0!</v>
      </c>
      <c r="F2233" s="1214">
        <v>2</v>
      </c>
      <c r="G2233" s="1214"/>
      <c r="H2233" s="1245">
        <f t="shared" si="296"/>
        <v>0</v>
      </c>
      <c r="I2233" s="1216">
        <f t="shared" si="299"/>
        <v>2</v>
      </c>
      <c r="J2233" s="860">
        <f t="shared" si="298"/>
        <v>0</v>
      </c>
      <c r="K2233" s="1217">
        <f t="shared" si="297"/>
        <v>0</v>
      </c>
      <c r="L2233" s="711"/>
      <c r="M2233" s="711"/>
    </row>
    <row r="2234" spans="1:13" ht="24.95" customHeight="1">
      <c r="A2234" s="1221" t="s">
        <v>4777</v>
      </c>
      <c r="B2234" s="1222" t="s">
        <v>4778</v>
      </c>
      <c r="C2234" s="1212"/>
      <c r="D2234" s="1212">
        <v>1</v>
      </c>
      <c r="E2234" s="1243" t="e">
        <f t="shared" si="295"/>
        <v>#DIV/0!</v>
      </c>
      <c r="F2234" s="1214">
        <v>3</v>
      </c>
      <c r="G2234" s="1214">
        <v>1</v>
      </c>
      <c r="H2234" s="1245">
        <f t="shared" si="296"/>
        <v>0.33333333333333331</v>
      </c>
      <c r="I2234" s="1216">
        <f t="shared" si="299"/>
        <v>3</v>
      </c>
      <c r="J2234" s="860">
        <f t="shared" si="298"/>
        <v>2</v>
      </c>
      <c r="K2234" s="1217">
        <f t="shared" si="297"/>
        <v>0.66666666666666663</v>
      </c>
      <c r="L2234" s="711"/>
      <c r="M2234" s="711"/>
    </row>
    <row r="2235" spans="1:13" ht="24.95" customHeight="1">
      <c r="A2235" s="1221" t="s">
        <v>4779</v>
      </c>
      <c r="B2235" s="1249" t="s">
        <v>4780</v>
      </c>
      <c r="C2235" s="1212"/>
      <c r="D2235" s="1212"/>
      <c r="E2235" s="1243" t="e">
        <f t="shared" si="295"/>
        <v>#DIV/0!</v>
      </c>
      <c r="F2235" s="1214"/>
      <c r="G2235" s="1214"/>
      <c r="H2235" s="1245" t="e">
        <f t="shared" si="296"/>
        <v>#DIV/0!</v>
      </c>
      <c r="I2235" s="1216">
        <f t="shared" si="299"/>
        <v>0</v>
      </c>
      <c r="J2235" s="860">
        <f t="shared" si="298"/>
        <v>0</v>
      </c>
      <c r="K2235" s="1217" t="e">
        <f t="shared" si="297"/>
        <v>#DIV/0!</v>
      </c>
      <c r="L2235" s="711"/>
      <c r="M2235" s="711"/>
    </row>
    <row r="2236" spans="1:13" ht="24.95" customHeight="1">
      <c r="A2236" s="1221" t="s">
        <v>4781</v>
      </c>
      <c r="B2236" s="1249" t="s">
        <v>4782</v>
      </c>
      <c r="C2236" s="1212">
        <v>2</v>
      </c>
      <c r="D2236" s="1212">
        <v>1</v>
      </c>
      <c r="E2236" s="1243">
        <f t="shared" si="295"/>
        <v>0.5</v>
      </c>
      <c r="F2236" s="1214"/>
      <c r="G2236" s="1214"/>
      <c r="H2236" s="1245" t="e">
        <f t="shared" si="296"/>
        <v>#DIV/0!</v>
      </c>
      <c r="I2236" s="1216">
        <f t="shared" si="299"/>
        <v>2</v>
      </c>
      <c r="J2236" s="860">
        <f t="shared" si="298"/>
        <v>1</v>
      </c>
      <c r="K2236" s="1217">
        <f t="shared" si="297"/>
        <v>0.5</v>
      </c>
      <c r="L2236" s="711"/>
      <c r="M2236" s="711"/>
    </row>
    <row r="2237" spans="1:13" ht="24.95" customHeight="1">
      <c r="A2237" s="1248" t="s">
        <v>4783</v>
      </c>
      <c r="B2237" s="1249" t="s">
        <v>4784</v>
      </c>
      <c r="C2237" s="1212">
        <v>5</v>
      </c>
      <c r="D2237" s="1212">
        <v>1</v>
      </c>
      <c r="E2237" s="1243">
        <f t="shared" si="295"/>
        <v>0.2</v>
      </c>
      <c r="F2237" s="1214">
        <v>3</v>
      </c>
      <c r="G2237" s="1214"/>
      <c r="H2237" s="1245">
        <f t="shared" si="296"/>
        <v>0</v>
      </c>
      <c r="I2237" s="1216">
        <f t="shared" si="299"/>
        <v>8</v>
      </c>
      <c r="J2237" s="860">
        <f t="shared" si="298"/>
        <v>1</v>
      </c>
      <c r="K2237" s="1217">
        <f t="shared" si="297"/>
        <v>0.125</v>
      </c>
      <c r="L2237" s="711"/>
      <c r="M2237" s="711"/>
    </row>
    <row r="2238" spans="1:13" ht="24.95" customHeight="1">
      <c r="A2238" s="1248" t="s">
        <v>4785</v>
      </c>
      <c r="B2238" s="1249" t="s">
        <v>4786</v>
      </c>
      <c r="C2238" s="1212">
        <v>2</v>
      </c>
      <c r="D2238" s="1212"/>
      <c r="E2238" s="1243">
        <f t="shared" si="295"/>
        <v>0</v>
      </c>
      <c r="F2238" s="1214">
        <v>2</v>
      </c>
      <c r="G2238" s="1214"/>
      <c r="H2238" s="1245">
        <f t="shared" si="296"/>
        <v>0</v>
      </c>
      <c r="I2238" s="1216">
        <f t="shared" si="299"/>
        <v>4</v>
      </c>
      <c r="J2238" s="860">
        <f t="shared" si="298"/>
        <v>0</v>
      </c>
      <c r="K2238" s="1217">
        <f t="shared" si="297"/>
        <v>0</v>
      </c>
      <c r="L2238" s="711"/>
      <c r="M2238" s="711"/>
    </row>
    <row r="2239" spans="1:13" ht="24.95" customHeight="1">
      <c r="A2239" s="1248" t="s">
        <v>4787</v>
      </c>
      <c r="B2239" s="1249" t="s">
        <v>4788</v>
      </c>
      <c r="C2239" s="1212">
        <v>2</v>
      </c>
      <c r="D2239" s="1212"/>
      <c r="E2239" s="1243">
        <f t="shared" si="295"/>
        <v>0</v>
      </c>
      <c r="F2239" s="1214"/>
      <c r="G2239" s="1214"/>
      <c r="H2239" s="1245" t="e">
        <f t="shared" si="296"/>
        <v>#DIV/0!</v>
      </c>
      <c r="I2239" s="1216">
        <f t="shared" si="299"/>
        <v>2</v>
      </c>
      <c r="J2239" s="860">
        <f t="shared" si="298"/>
        <v>0</v>
      </c>
      <c r="K2239" s="1217">
        <f t="shared" si="297"/>
        <v>0</v>
      </c>
      <c r="L2239" s="711"/>
      <c r="M2239" s="711"/>
    </row>
    <row r="2240" spans="1:13" ht="24.95" customHeight="1">
      <c r="A2240" s="1248" t="s">
        <v>4789</v>
      </c>
      <c r="B2240" s="1249" t="s">
        <v>3460</v>
      </c>
      <c r="C2240" s="1212">
        <v>2</v>
      </c>
      <c r="D2240" s="1212">
        <v>2</v>
      </c>
      <c r="E2240" s="1243">
        <f t="shared" si="295"/>
        <v>1</v>
      </c>
      <c r="F2240" s="1214"/>
      <c r="G2240" s="1214"/>
      <c r="H2240" s="1245" t="e">
        <f t="shared" si="296"/>
        <v>#DIV/0!</v>
      </c>
      <c r="I2240" s="1216">
        <f t="shared" si="299"/>
        <v>2</v>
      </c>
      <c r="J2240" s="860">
        <f t="shared" si="298"/>
        <v>2</v>
      </c>
      <c r="K2240" s="1217">
        <f t="shared" si="297"/>
        <v>1</v>
      </c>
      <c r="L2240" s="711"/>
      <c r="M2240" s="711"/>
    </row>
    <row r="2241" spans="1:13" ht="24.95" customHeight="1">
      <c r="A2241" s="1248" t="s">
        <v>4790</v>
      </c>
      <c r="B2241" s="1249" t="s">
        <v>4791</v>
      </c>
      <c r="C2241" s="1212"/>
      <c r="D2241" s="1212"/>
      <c r="E2241" s="1243" t="e">
        <f t="shared" si="295"/>
        <v>#DIV/0!</v>
      </c>
      <c r="F2241" s="1214"/>
      <c r="G2241" s="1214"/>
      <c r="H2241" s="1245" t="e">
        <f t="shared" si="296"/>
        <v>#DIV/0!</v>
      </c>
      <c r="I2241" s="1216">
        <f t="shared" si="299"/>
        <v>0</v>
      </c>
      <c r="J2241" s="860">
        <f t="shared" si="298"/>
        <v>0</v>
      </c>
      <c r="K2241" s="1217" t="e">
        <f t="shared" si="297"/>
        <v>#DIV/0!</v>
      </c>
      <c r="L2241" s="711"/>
      <c r="M2241" s="711"/>
    </row>
    <row r="2242" spans="1:13" ht="24.95" customHeight="1">
      <c r="A2242" s="1248" t="s">
        <v>4792</v>
      </c>
      <c r="B2242" s="1249" t="s">
        <v>4793</v>
      </c>
      <c r="C2242" s="1212">
        <v>2</v>
      </c>
      <c r="D2242" s="1212"/>
      <c r="E2242" s="1243">
        <f t="shared" si="295"/>
        <v>0</v>
      </c>
      <c r="F2242" s="1214"/>
      <c r="G2242" s="1214"/>
      <c r="H2242" s="1245" t="e">
        <f t="shared" si="296"/>
        <v>#DIV/0!</v>
      </c>
      <c r="I2242" s="1216">
        <f t="shared" si="299"/>
        <v>2</v>
      </c>
      <c r="J2242" s="860">
        <f t="shared" si="298"/>
        <v>0</v>
      </c>
      <c r="K2242" s="1217">
        <f t="shared" si="297"/>
        <v>0</v>
      </c>
      <c r="L2242" s="711"/>
      <c r="M2242" s="711"/>
    </row>
    <row r="2243" spans="1:13" ht="24.95" customHeight="1">
      <c r="A2243" s="1248" t="s">
        <v>4794</v>
      </c>
      <c r="B2243" s="1249" t="s">
        <v>4795</v>
      </c>
      <c r="C2243" s="1212"/>
      <c r="D2243" s="1212"/>
      <c r="E2243" s="1243" t="e">
        <f t="shared" si="295"/>
        <v>#DIV/0!</v>
      </c>
      <c r="F2243" s="1214">
        <v>1</v>
      </c>
      <c r="G2243" s="1214"/>
      <c r="H2243" s="1245">
        <f t="shared" si="296"/>
        <v>0</v>
      </c>
      <c r="I2243" s="1216">
        <f t="shared" si="299"/>
        <v>1</v>
      </c>
      <c r="J2243" s="860">
        <f t="shared" si="298"/>
        <v>0</v>
      </c>
      <c r="K2243" s="1217">
        <f t="shared" si="297"/>
        <v>0</v>
      </c>
      <c r="L2243" s="711"/>
      <c r="M2243" s="711"/>
    </row>
    <row r="2244" spans="1:13" ht="24.95" customHeight="1">
      <c r="A2244" s="1248" t="s">
        <v>4796</v>
      </c>
      <c r="B2244" s="1249" t="s">
        <v>3464</v>
      </c>
      <c r="C2244" s="1212">
        <v>2</v>
      </c>
      <c r="D2244" s="1212"/>
      <c r="E2244" s="1243">
        <f t="shared" si="295"/>
        <v>0</v>
      </c>
      <c r="F2244" s="1214"/>
      <c r="G2244" s="1214"/>
      <c r="H2244" s="1245" t="e">
        <f t="shared" si="296"/>
        <v>#DIV/0!</v>
      </c>
      <c r="I2244" s="1216">
        <f t="shared" si="299"/>
        <v>2</v>
      </c>
      <c r="J2244" s="860">
        <f t="shared" si="298"/>
        <v>0</v>
      </c>
      <c r="K2244" s="1217">
        <f t="shared" si="297"/>
        <v>0</v>
      </c>
      <c r="L2244" s="711"/>
      <c r="M2244" s="711"/>
    </row>
    <row r="2245" spans="1:13" ht="24.95" customHeight="1">
      <c r="A2245" s="1248" t="s">
        <v>4797</v>
      </c>
      <c r="B2245" s="1249" t="s">
        <v>4798</v>
      </c>
      <c r="C2245" s="1212">
        <v>1</v>
      </c>
      <c r="D2245" s="1212"/>
      <c r="E2245" s="1243">
        <f t="shared" si="295"/>
        <v>0</v>
      </c>
      <c r="F2245" s="1214"/>
      <c r="G2245" s="1214"/>
      <c r="H2245" s="1245" t="e">
        <f t="shared" si="296"/>
        <v>#DIV/0!</v>
      </c>
      <c r="I2245" s="1216">
        <f t="shared" si="299"/>
        <v>1</v>
      </c>
      <c r="J2245" s="860">
        <f t="shared" si="298"/>
        <v>0</v>
      </c>
      <c r="K2245" s="1217">
        <f t="shared" si="297"/>
        <v>0</v>
      </c>
      <c r="L2245" s="711"/>
      <c r="M2245" s="711"/>
    </row>
    <row r="2246" spans="1:13" ht="24.95" customHeight="1">
      <c r="A2246" s="1248" t="s">
        <v>4799</v>
      </c>
      <c r="B2246" s="1249" t="s">
        <v>4800</v>
      </c>
      <c r="C2246" s="1212">
        <v>1</v>
      </c>
      <c r="D2246" s="1212"/>
      <c r="E2246" s="1243">
        <f t="shared" si="295"/>
        <v>0</v>
      </c>
      <c r="F2246" s="1214"/>
      <c r="G2246" s="1214"/>
      <c r="H2246" s="1245" t="e">
        <f t="shared" si="296"/>
        <v>#DIV/0!</v>
      </c>
      <c r="I2246" s="1216">
        <f t="shared" si="299"/>
        <v>1</v>
      </c>
      <c r="J2246" s="860">
        <f t="shared" si="298"/>
        <v>0</v>
      </c>
      <c r="K2246" s="1217">
        <f t="shared" si="297"/>
        <v>0</v>
      </c>
      <c r="L2246" s="711"/>
      <c r="M2246" s="711"/>
    </row>
    <row r="2247" spans="1:13" ht="24.95" customHeight="1">
      <c r="A2247" s="1248" t="s">
        <v>3326</v>
      </c>
      <c r="B2247" s="1249" t="s">
        <v>3327</v>
      </c>
      <c r="C2247" s="1212"/>
      <c r="D2247" s="1212"/>
      <c r="E2247" s="1243" t="e">
        <f t="shared" si="295"/>
        <v>#DIV/0!</v>
      </c>
      <c r="F2247" s="1214">
        <v>3</v>
      </c>
      <c r="G2247" s="1214"/>
      <c r="H2247" s="1245">
        <f t="shared" si="296"/>
        <v>0</v>
      </c>
      <c r="I2247" s="1216">
        <f t="shared" si="299"/>
        <v>3</v>
      </c>
      <c r="J2247" s="860">
        <f t="shared" si="298"/>
        <v>0</v>
      </c>
      <c r="K2247" s="1217">
        <f t="shared" si="297"/>
        <v>0</v>
      </c>
      <c r="L2247" s="711"/>
      <c r="M2247" s="711"/>
    </row>
    <row r="2248" spans="1:13" ht="24.95" customHeight="1">
      <c r="A2248" s="1248" t="s">
        <v>4801</v>
      </c>
      <c r="B2248" s="1249" t="s">
        <v>4802</v>
      </c>
      <c r="C2248" s="1212"/>
      <c r="D2248" s="1212"/>
      <c r="E2248" s="1243" t="e">
        <f t="shared" si="295"/>
        <v>#DIV/0!</v>
      </c>
      <c r="F2248" s="1214">
        <v>2</v>
      </c>
      <c r="G2248" s="1214"/>
      <c r="H2248" s="1245">
        <f t="shared" si="296"/>
        <v>0</v>
      </c>
      <c r="I2248" s="1216"/>
      <c r="J2248" s="860">
        <f t="shared" si="298"/>
        <v>0</v>
      </c>
      <c r="K2248" s="1217" t="e">
        <f t="shared" si="297"/>
        <v>#DIV/0!</v>
      </c>
      <c r="L2248" s="711"/>
      <c r="M2248" s="711"/>
    </row>
    <row r="2249" spans="1:13" ht="24.95" customHeight="1">
      <c r="A2249" s="1248" t="s">
        <v>4803</v>
      </c>
      <c r="B2249" s="1249" t="s">
        <v>4804</v>
      </c>
      <c r="C2249" s="1212">
        <v>3</v>
      </c>
      <c r="D2249" s="1212">
        <v>1</v>
      </c>
      <c r="E2249" s="1243">
        <f t="shared" si="295"/>
        <v>0.33333333333333331</v>
      </c>
      <c r="F2249" s="1214"/>
      <c r="G2249" s="1214"/>
      <c r="H2249" s="1245" t="e">
        <f t="shared" si="296"/>
        <v>#DIV/0!</v>
      </c>
      <c r="I2249" s="1216">
        <f t="shared" ref="I2249:I2267" si="300">+C2249+F2249</f>
        <v>3</v>
      </c>
      <c r="J2249" s="860">
        <f t="shared" si="298"/>
        <v>1</v>
      </c>
      <c r="K2249" s="1217">
        <f t="shared" si="297"/>
        <v>0.33333333333333331</v>
      </c>
      <c r="L2249" s="711"/>
      <c r="M2249" s="711"/>
    </row>
    <row r="2250" spans="1:13" ht="24.95" customHeight="1">
      <c r="A2250" s="1248" t="s">
        <v>4805</v>
      </c>
      <c r="B2250" s="1249" t="s">
        <v>4806</v>
      </c>
      <c r="C2250" s="1212">
        <v>2</v>
      </c>
      <c r="D2250" s="1212"/>
      <c r="E2250" s="1243">
        <f t="shared" si="295"/>
        <v>0</v>
      </c>
      <c r="F2250" s="1214"/>
      <c r="G2250" s="1214"/>
      <c r="H2250" s="1245" t="e">
        <f t="shared" si="296"/>
        <v>#DIV/0!</v>
      </c>
      <c r="I2250" s="1216">
        <f t="shared" si="300"/>
        <v>2</v>
      </c>
      <c r="J2250" s="860">
        <f t="shared" si="298"/>
        <v>0</v>
      </c>
      <c r="K2250" s="1217">
        <f t="shared" si="297"/>
        <v>0</v>
      </c>
      <c r="L2250" s="711"/>
      <c r="M2250" s="711"/>
    </row>
    <row r="2251" spans="1:13" ht="24.95" customHeight="1">
      <c r="A2251" s="1248" t="s">
        <v>4807</v>
      </c>
      <c r="B2251" s="1233" t="s">
        <v>4808</v>
      </c>
      <c r="C2251" s="1212">
        <v>1</v>
      </c>
      <c r="D2251" s="1212"/>
      <c r="E2251" s="1243">
        <f t="shared" si="295"/>
        <v>0</v>
      </c>
      <c r="F2251" s="1214">
        <v>2</v>
      </c>
      <c r="G2251" s="1214"/>
      <c r="H2251" s="1245">
        <f t="shared" si="296"/>
        <v>0</v>
      </c>
      <c r="I2251" s="1216">
        <f t="shared" si="300"/>
        <v>3</v>
      </c>
      <c r="J2251" s="860">
        <f t="shared" si="298"/>
        <v>0</v>
      </c>
      <c r="K2251" s="1217">
        <f t="shared" si="297"/>
        <v>0</v>
      </c>
      <c r="L2251" s="711"/>
      <c r="M2251" s="711"/>
    </row>
    <row r="2252" spans="1:13" ht="24.95" customHeight="1">
      <c r="A2252" s="1248" t="s">
        <v>4809</v>
      </c>
      <c r="B2252" s="1249" t="s">
        <v>4810</v>
      </c>
      <c r="C2252" s="1212">
        <v>2</v>
      </c>
      <c r="D2252" s="1212"/>
      <c r="E2252" s="1243">
        <f t="shared" ref="E2252:E2305" si="301">+D2252/C2252</f>
        <v>0</v>
      </c>
      <c r="F2252" s="1214"/>
      <c r="G2252" s="1214"/>
      <c r="H2252" s="1245" t="e">
        <f t="shared" ref="H2252:H2305" si="302">+G2252/F2252</f>
        <v>#DIV/0!</v>
      </c>
      <c r="I2252" s="1216">
        <f t="shared" si="300"/>
        <v>2</v>
      </c>
      <c r="J2252" s="860">
        <f t="shared" si="298"/>
        <v>0</v>
      </c>
      <c r="K2252" s="1217">
        <f t="shared" ref="K2252:K2305" si="303">+J2252/I2252</f>
        <v>0</v>
      </c>
      <c r="L2252" s="711"/>
      <c r="M2252" s="711"/>
    </row>
    <row r="2253" spans="1:13" ht="24.95" customHeight="1">
      <c r="A2253" s="456" t="s">
        <v>4811</v>
      </c>
      <c r="B2253" s="452" t="s">
        <v>4812</v>
      </c>
      <c r="C2253" s="1212">
        <v>15</v>
      </c>
      <c r="D2253" s="1212">
        <v>8</v>
      </c>
      <c r="E2253" s="1243">
        <f t="shared" si="301"/>
        <v>0.53333333333333333</v>
      </c>
      <c r="F2253" s="1214"/>
      <c r="G2253" s="1214"/>
      <c r="H2253" s="1245" t="e">
        <f t="shared" si="302"/>
        <v>#DIV/0!</v>
      </c>
      <c r="I2253" s="1216">
        <f t="shared" si="300"/>
        <v>15</v>
      </c>
      <c r="J2253" s="860">
        <f t="shared" si="298"/>
        <v>8</v>
      </c>
      <c r="K2253" s="1217">
        <f t="shared" si="303"/>
        <v>0.53333333333333333</v>
      </c>
      <c r="L2253" s="711"/>
      <c r="M2253" s="711"/>
    </row>
    <row r="2254" spans="1:13" ht="24.95" customHeight="1">
      <c r="A2254" s="456" t="s">
        <v>4813</v>
      </c>
      <c r="B2254" s="452" t="s">
        <v>4814</v>
      </c>
      <c r="C2254" s="1212">
        <v>2</v>
      </c>
      <c r="D2254" s="1212"/>
      <c r="E2254" s="1243">
        <f t="shared" si="301"/>
        <v>0</v>
      </c>
      <c r="F2254" s="1214"/>
      <c r="G2254" s="1214"/>
      <c r="H2254" s="1245" t="e">
        <f t="shared" si="302"/>
        <v>#DIV/0!</v>
      </c>
      <c r="I2254" s="1216">
        <f t="shared" si="300"/>
        <v>2</v>
      </c>
      <c r="J2254" s="860">
        <f t="shared" si="298"/>
        <v>0</v>
      </c>
      <c r="K2254" s="1217">
        <f t="shared" si="303"/>
        <v>0</v>
      </c>
      <c r="L2254" s="711"/>
      <c r="M2254" s="711"/>
    </row>
    <row r="2255" spans="1:13" ht="24.95" customHeight="1">
      <c r="A2255" s="456" t="s">
        <v>4815</v>
      </c>
      <c r="B2255" s="452" t="s">
        <v>4816</v>
      </c>
      <c r="C2255" s="1212">
        <v>5</v>
      </c>
      <c r="D2255" s="1212">
        <v>6</v>
      </c>
      <c r="E2255" s="1243">
        <f t="shared" si="301"/>
        <v>1.2</v>
      </c>
      <c r="F2255" s="1214">
        <v>5</v>
      </c>
      <c r="G2255" s="1214"/>
      <c r="H2255" s="1245">
        <f t="shared" si="302"/>
        <v>0</v>
      </c>
      <c r="I2255" s="1216">
        <f t="shared" si="300"/>
        <v>10</v>
      </c>
      <c r="J2255" s="860">
        <f t="shared" si="298"/>
        <v>6</v>
      </c>
      <c r="K2255" s="1217">
        <f t="shared" si="303"/>
        <v>0.6</v>
      </c>
      <c r="L2255" s="711"/>
      <c r="M2255" s="711"/>
    </row>
    <row r="2256" spans="1:13" ht="24.95" customHeight="1">
      <c r="A2256" s="456" t="s">
        <v>4817</v>
      </c>
      <c r="B2256" s="452" t="s">
        <v>4818</v>
      </c>
      <c r="C2256" s="1212">
        <v>0</v>
      </c>
      <c r="D2256" s="1212"/>
      <c r="E2256" s="1243" t="e">
        <f t="shared" si="301"/>
        <v>#DIV/0!</v>
      </c>
      <c r="F2256" s="1214">
        <v>5</v>
      </c>
      <c r="G2256" s="1214">
        <v>1</v>
      </c>
      <c r="H2256" s="1245">
        <f t="shared" si="302"/>
        <v>0.2</v>
      </c>
      <c r="I2256" s="1216">
        <f t="shared" si="300"/>
        <v>5</v>
      </c>
      <c r="J2256" s="860">
        <f t="shared" si="298"/>
        <v>1</v>
      </c>
      <c r="K2256" s="1217">
        <f t="shared" si="303"/>
        <v>0.2</v>
      </c>
      <c r="L2256" s="711"/>
      <c r="M2256" s="711"/>
    </row>
    <row r="2257" spans="1:13" ht="24.95" customHeight="1">
      <c r="A2257" s="456" t="s">
        <v>4819</v>
      </c>
      <c r="B2257" s="452" t="s">
        <v>4820</v>
      </c>
      <c r="C2257" s="1212"/>
      <c r="D2257" s="1212"/>
      <c r="E2257" s="1243" t="e">
        <f t="shared" si="301"/>
        <v>#DIV/0!</v>
      </c>
      <c r="F2257" s="1214"/>
      <c r="G2257" s="1214"/>
      <c r="H2257" s="1245" t="e">
        <f t="shared" si="302"/>
        <v>#DIV/0!</v>
      </c>
      <c r="I2257" s="1216">
        <f t="shared" si="300"/>
        <v>0</v>
      </c>
      <c r="J2257" s="860">
        <f t="shared" si="298"/>
        <v>0</v>
      </c>
      <c r="K2257" s="1217" t="e">
        <f t="shared" si="303"/>
        <v>#DIV/0!</v>
      </c>
      <c r="L2257" s="711"/>
      <c r="M2257" s="711"/>
    </row>
    <row r="2258" spans="1:13" ht="24.95" customHeight="1">
      <c r="A2258" s="1234" t="s">
        <v>4821</v>
      </c>
      <c r="B2258" s="1237" t="s">
        <v>4822</v>
      </c>
      <c r="C2258" s="1212"/>
      <c r="D2258" s="1212"/>
      <c r="E2258" s="1243" t="e">
        <f t="shared" si="301"/>
        <v>#DIV/0!</v>
      </c>
      <c r="F2258" s="1214"/>
      <c r="G2258" s="1214"/>
      <c r="H2258" s="1245" t="e">
        <f t="shared" si="302"/>
        <v>#DIV/0!</v>
      </c>
      <c r="I2258" s="1216">
        <f t="shared" si="300"/>
        <v>0</v>
      </c>
      <c r="J2258" s="860">
        <f t="shared" si="298"/>
        <v>0</v>
      </c>
      <c r="K2258" s="1217" t="e">
        <f t="shared" si="303"/>
        <v>#DIV/0!</v>
      </c>
      <c r="L2258" s="711"/>
      <c r="M2258" s="711"/>
    </row>
    <row r="2259" spans="1:13" ht="24.95" customHeight="1">
      <c r="A2259" s="456" t="s">
        <v>4823</v>
      </c>
      <c r="B2259" s="1236" t="s">
        <v>4824</v>
      </c>
      <c r="C2259" s="1212">
        <v>2</v>
      </c>
      <c r="D2259" s="1212"/>
      <c r="E2259" s="1243">
        <f t="shared" si="301"/>
        <v>0</v>
      </c>
      <c r="F2259" s="1214"/>
      <c r="G2259" s="1214"/>
      <c r="H2259" s="1245" t="e">
        <f t="shared" si="302"/>
        <v>#DIV/0!</v>
      </c>
      <c r="I2259" s="1216">
        <f t="shared" si="300"/>
        <v>2</v>
      </c>
      <c r="J2259" s="860">
        <f t="shared" si="298"/>
        <v>0</v>
      </c>
      <c r="K2259" s="1217">
        <f t="shared" si="303"/>
        <v>0</v>
      </c>
      <c r="L2259" s="711"/>
      <c r="M2259" s="711"/>
    </row>
    <row r="2260" spans="1:13" ht="24.95" customHeight="1">
      <c r="A2260" s="456" t="s">
        <v>4128</v>
      </c>
      <c r="B2260" s="452" t="s">
        <v>4129</v>
      </c>
      <c r="C2260" s="1212">
        <v>70</v>
      </c>
      <c r="D2260" s="1212">
        <v>24</v>
      </c>
      <c r="E2260" s="1243">
        <f t="shared" si="301"/>
        <v>0.34285714285714286</v>
      </c>
      <c r="F2260" s="1214">
        <v>45</v>
      </c>
      <c r="G2260" s="1214">
        <v>12</v>
      </c>
      <c r="H2260" s="1245">
        <f t="shared" si="302"/>
        <v>0.26666666666666666</v>
      </c>
      <c r="I2260" s="1216">
        <f t="shared" si="300"/>
        <v>115</v>
      </c>
      <c r="J2260" s="860">
        <f t="shared" si="298"/>
        <v>36</v>
      </c>
      <c r="K2260" s="1217">
        <f t="shared" si="303"/>
        <v>0.31304347826086959</v>
      </c>
      <c r="L2260" s="711"/>
      <c r="M2260" s="711"/>
    </row>
    <row r="2261" spans="1:13" ht="24.95" customHeight="1">
      <c r="A2261" s="456" t="s">
        <v>4825</v>
      </c>
      <c r="B2261" s="1233" t="s">
        <v>4826</v>
      </c>
      <c r="C2261" s="1212">
        <v>2</v>
      </c>
      <c r="D2261" s="1212">
        <v>5</v>
      </c>
      <c r="E2261" s="1243">
        <f t="shared" si="301"/>
        <v>2.5</v>
      </c>
      <c r="F2261" s="1214">
        <v>2</v>
      </c>
      <c r="G2261" s="1214"/>
      <c r="H2261" s="1245">
        <f t="shared" si="302"/>
        <v>0</v>
      </c>
      <c r="I2261" s="1216">
        <f t="shared" si="300"/>
        <v>4</v>
      </c>
      <c r="J2261" s="860">
        <f t="shared" si="298"/>
        <v>5</v>
      </c>
      <c r="K2261" s="1217">
        <f t="shared" si="303"/>
        <v>1.25</v>
      </c>
      <c r="L2261" s="711"/>
      <c r="M2261" s="711"/>
    </row>
    <row r="2262" spans="1:13" ht="24.95" customHeight="1">
      <c r="A2262" s="1234" t="s">
        <v>4827</v>
      </c>
      <c r="B2262" s="1237" t="s">
        <v>4828</v>
      </c>
      <c r="C2262" s="1212">
        <v>1</v>
      </c>
      <c r="D2262" s="1212"/>
      <c r="E2262" s="1243">
        <f t="shared" si="301"/>
        <v>0</v>
      </c>
      <c r="F2262" s="1214">
        <v>2</v>
      </c>
      <c r="G2262" s="1214">
        <v>2</v>
      </c>
      <c r="H2262" s="1245">
        <f t="shared" si="302"/>
        <v>1</v>
      </c>
      <c r="I2262" s="1216">
        <f t="shared" si="300"/>
        <v>3</v>
      </c>
      <c r="J2262" s="860">
        <f t="shared" si="298"/>
        <v>2</v>
      </c>
      <c r="K2262" s="1217">
        <f t="shared" si="303"/>
        <v>0.66666666666666663</v>
      </c>
      <c r="L2262" s="711"/>
      <c r="M2262" s="711"/>
    </row>
    <row r="2263" spans="1:13" ht="24.95" customHeight="1">
      <c r="A2263" s="1234" t="s">
        <v>4829</v>
      </c>
      <c r="B2263" s="1233" t="s">
        <v>4830</v>
      </c>
      <c r="C2263" s="1212"/>
      <c r="D2263" s="1212"/>
      <c r="E2263" s="1243" t="e">
        <f t="shared" si="301"/>
        <v>#DIV/0!</v>
      </c>
      <c r="F2263" s="1214"/>
      <c r="G2263" s="1214"/>
      <c r="H2263" s="1245" t="e">
        <f t="shared" si="302"/>
        <v>#DIV/0!</v>
      </c>
      <c r="I2263" s="1216">
        <f t="shared" si="300"/>
        <v>0</v>
      </c>
      <c r="J2263" s="860">
        <f t="shared" si="298"/>
        <v>0</v>
      </c>
      <c r="K2263" s="1217" t="e">
        <f t="shared" si="303"/>
        <v>#DIV/0!</v>
      </c>
      <c r="L2263" s="711"/>
      <c r="M2263" s="711"/>
    </row>
    <row r="2264" spans="1:13" ht="24.95" customHeight="1">
      <c r="A2264" s="456" t="s">
        <v>4831</v>
      </c>
      <c r="B2264" s="452" t="s">
        <v>4832</v>
      </c>
      <c r="C2264" s="1212">
        <v>15</v>
      </c>
      <c r="D2264" s="1212">
        <v>5</v>
      </c>
      <c r="E2264" s="1243">
        <f t="shared" si="301"/>
        <v>0.33333333333333331</v>
      </c>
      <c r="F2264" s="1214">
        <v>5</v>
      </c>
      <c r="G2264" s="1214">
        <v>3</v>
      </c>
      <c r="H2264" s="1245">
        <f t="shared" si="302"/>
        <v>0.6</v>
      </c>
      <c r="I2264" s="1216">
        <f t="shared" si="300"/>
        <v>20</v>
      </c>
      <c r="J2264" s="860">
        <f t="shared" si="298"/>
        <v>8</v>
      </c>
      <c r="K2264" s="1217">
        <f t="shared" si="303"/>
        <v>0.4</v>
      </c>
      <c r="L2264" s="711"/>
      <c r="M2264" s="711"/>
    </row>
    <row r="2265" spans="1:13" ht="24.95" customHeight="1">
      <c r="A2265" s="456" t="s">
        <v>4833</v>
      </c>
      <c r="B2265" s="452" t="s">
        <v>4832</v>
      </c>
      <c r="C2265" s="1212">
        <v>2</v>
      </c>
      <c r="D2265" s="1212"/>
      <c r="E2265" s="1243">
        <f t="shared" si="301"/>
        <v>0</v>
      </c>
      <c r="F2265" s="1214"/>
      <c r="G2265" s="1214"/>
      <c r="H2265" s="1245" t="e">
        <f t="shared" si="302"/>
        <v>#DIV/0!</v>
      </c>
      <c r="I2265" s="1216">
        <f t="shared" si="300"/>
        <v>2</v>
      </c>
      <c r="J2265" s="860">
        <f t="shared" si="298"/>
        <v>0</v>
      </c>
      <c r="K2265" s="1217">
        <f t="shared" si="303"/>
        <v>0</v>
      </c>
      <c r="L2265" s="711"/>
      <c r="M2265" s="711"/>
    </row>
    <row r="2266" spans="1:13" ht="24.95" customHeight="1">
      <c r="A2266" s="456" t="s">
        <v>4834</v>
      </c>
      <c r="B2266" s="452" t="s">
        <v>4835</v>
      </c>
      <c r="C2266" s="1212">
        <v>1</v>
      </c>
      <c r="D2266" s="1212"/>
      <c r="E2266" s="1243">
        <f t="shared" si="301"/>
        <v>0</v>
      </c>
      <c r="F2266" s="1214"/>
      <c r="G2266" s="1214"/>
      <c r="H2266" s="1245" t="e">
        <f t="shared" si="302"/>
        <v>#DIV/0!</v>
      </c>
      <c r="I2266" s="1216">
        <f t="shared" si="300"/>
        <v>1</v>
      </c>
      <c r="J2266" s="860">
        <f t="shared" si="298"/>
        <v>0</v>
      </c>
      <c r="K2266" s="1217">
        <f t="shared" si="303"/>
        <v>0</v>
      </c>
      <c r="L2266" s="711"/>
      <c r="M2266" s="711"/>
    </row>
    <row r="2267" spans="1:13" ht="24.95" customHeight="1">
      <c r="A2267" s="456" t="s">
        <v>4836</v>
      </c>
      <c r="B2267" s="452" t="s">
        <v>4837</v>
      </c>
      <c r="C2267" s="1212">
        <v>2</v>
      </c>
      <c r="D2267" s="1212"/>
      <c r="E2267" s="1243">
        <f t="shared" si="301"/>
        <v>0</v>
      </c>
      <c r="F2267" s="1214">
        <v>2</v>
      </c>
      <c r="G2267" s="1214"/>
      <c r="H2267" s="1245">
        <f t="shared" si="302"/>
        <v>0</v>
      </c>
      <c r="I2267" s="1216">
        <f t="shared" si="300"/>
        <v>4</v>
      </c>
      <c r="J2267" s="860">
        <f t="shared" si="298"/>
        <v>0</v>
      </c>
      <c r="K2267" s="1217">
        <f t="shared" si="303"/>
        <v>0</v>
      </c>
      <c r="L2267" s="711"/>
      <c r="M2267" s="711"/>
    </row>
    <row r="2268" spans="1:13" ht="24.95" customHeight="1">
      <c r="A2268" s="456" t="s">
        <v>4838</v>
      </c>
      <c r="B2268" s="452" t="s">
        <v>4839</v>
      </c>
      <c r="C2268" s="1212"/>
      <c r="D2268" s="1212"/>
      <c r="E2268" s="1243" t="e">
        <f t="shared" si="301"/>
        <v>#DIV/0!</v>
      </c>
      <c r="F2268" s="1214">
        <v>1</v>
      </c>
      <c r="G2268" s="1214"/>
      <c r="H2268" s="1245">
        <f t="shared" si="302"/>
        <v>0</v>
      </c>
      <c r="I2268" s="1216"/>
      <c r="J2268" s="860">
        <f t="shared" si="298"/>
        <v>0</v>
      </c>
      <c r="K2268" s="1217" t="e">
        <f t="shared" si="303"/>
        <v>#DIV/0!</v>
      </c>
      <c r="L2268" s="711"/>
      <c r="M2268" s="711"/>
    </row>
    <row r="2269" spans="1:13" ht="24.95" customHeight="1">
      <c r="A2269" s="456" t="s">
        <v>4840</v>
      </c>
      <c r="B2269" s="452" t="s">
        <v>4131</v>
      </c>
      <c r="C2269" s="1212">
        <v>16</v>
      </c>
      <c r="D2269" s="1212">
        <v>6</v>
      </c>
      <c r="E2269" s="1243">
        <f t="shared" si="301"/>
        <v>0.375</v>
      </c>
      <c r="F2269" s="1214">
        <v>5</v>
      </c>
      <c r="G2269" s="1214">
        <v>2</v>
      </c>
      <c r="H2269" s="1245">
        <f t="shared" si="302"/>
        <v>0.4</v>
      </c>
      <c r="I2269" s="1216">
        <f t="shared" ref="I2269:I2276" si="304">+C2269+F2269</f>
        <v>21</v>
      </c>
      <c r="J2269" s="860">
        <f t="shared" si="298"/>
        <v>8</v>
      </c>
      <c r="K2269" s="1217">
        <f t="shared" si="303"/>
        <v>0.38095238095238093</v>
      </c>
      <c r="L2269" s="711"/>
      <c r="M2269" s="711"/>
    </row>
    <row r="2270" spans="1:13" ht="24.95" customHeight="1">
      <c r="A2270" s="456" t="s">
        <v>4841</v>
      </c>
      <c r="B2270" s="452" t="s">
        <v>4842</v>
      </c>
      <c r="C2270" s="1212"/>
      <c r="D2270" s="1212"/>
      <c r="E2270" s="1243" t="e">
        <f t="shared" si="301"/>
        <v>#DIV/0!</v>
      </c>
      <c r="F2270" s="1214">
        <v>1</v>
      </c>
      <c r="G2270" s="1214"/>
      <c r="H2270" s="1245">
        <f t="shared" si="302"/>
        <v>0</v>
      </c>
      <c r="I2270" s="1216">
        <f t="shared" si="304"/>
        <v>1</v>
      </c>
      <c r="J2270" s="860">
        <f t="shared" si="298"/>
        <v>0</v>
      </c>
      <c r="K2270" s="1217">
        <f t="shared" si="303"/>
        <v>0</v>
      </c>
      <c r="L2270" s="711"/>
      <c r="M2270" s="711"/>
    </row>
    <row r="2271" spans="1:13" ht="24.95" customHeight="1">
      <c r="A2271" s="1234" t="s">
        <v>4843</v>
      </c>
      <c r="B2271" s="1237" t="s">
        <v>4844</v>
      </c>
      <c r="C2271" s="1212">
        <v>10</v>
      </c>
      <c r="D2271" s="1212">
        <v>1</v>
      </c>
      <c r="E2271" s="1243">
        <f t="shared" si="301"/>
        <v>0.1</v>
      </c>
      <c r="F2271" s="1214">
        <v>1</v>
      </c>
      <c r="G2271" s="1214">
        <v>1</v>
      </c>
      <c r="H2271" s="1245">
        <f t="shared" si="302"/>
        <v>1</v>
      </c>
      <c r="I2271" s="1216">
        <f t="shared" si="304"/>
        <v>11</v>
      </c>
      <c r="J2271" s="860">
        <f t="shared" si="298"/>
        <v>2</v>
      </c>
      <c r="K2271" s="1217">
        <f t="shared" si="303"/>
        <v>0.18181818181818182</v>
      </c>
      <c r="L2271" s="711"/>
      <c r="M2271" s="711"/>
    </row>
    <row r="2272" spans="1:13" ht="24.95" customHeight="1">
      <c r="A2272" s="1248" t="s">
        <v>4845</v>
      </c>
      <c r="B2272" s="1249" t="s">
        <v>4846</v>
      </c>
      <c r="C2272" s="1212">
        <v>5</v>
      </c>
      <c r="D2272" s="1212">
        <v>1</v>
      </c>
      <c r="E2272" s="1243">
        <f t="shared" si="301"/>
        <v>0.2</v>
      </c>
      <c r="F2272" s="1214"/>
      <c r="G2272" s="1214"/>
      <c r="H2272" s="1245" t="e">
        <f t="shared" si="302"/>
        <v>#DIV/0!</v>
      </c>
      <c r="I2272" s="1216">
        <f t="shared" si="304"/>
        <v>5</v>
      </c>
      <c r="J2272" s="860">
        <f t="shared" si="298"/>
        <v>1</v>
      </c>
      <c r="K2272" s="1217">
        <f t="shared" si="303"/>
        <v>0.2</v>
      </c>
      <c r="L2272" s="711"/>
      <c r="M2272" s="711"/>
    </row>
    <row r="2273" spans="1:13" ht="24.95" customHeight="1">
      <c r="A2273" s="456" t="s">
        <v>4847</v>
      </c>
      <c r="B2273" s="452" t="s">
        <v>4848</v>
      </c>
      <c r="C2273" s="1212">
        <v>2</v>
      </c>
      <c r="D2273" s="1212">
        <v>1</v>
      </c>
      <c r="E2273" s="1243">
        <f t="shared" si="301"/>
        <v>0.5</v>
      </c>
      <c r="F2273" s="1214">
        <v>5</v>
      </c>
      <c r="G2273" s="1214"/>
      <c r="H2273" s="1245">
        <f t="shared" si="302"/>
        <v>0</v>
      </c>
      <c r="I2273" s="1216">
        <f t="shared" si="304"/>
        <v>7</v>
      </c>
      <c r="J2273" s="860">
        <f t="shared" si="298"/>
        <v>1</v>
      </c>
      <c r="K2273" s="1217">
        <f t="shared" si="303"/>
        <v>0.14285714285714285</v>
      </c>
      <c r="L2273" s="711"/>
      <c r="M2273" s="711"/>
    </row>
    <row r="2274" spans="1:13" ht="24.95" customHeight="1">
      <c r="A2274" s="1234" t="s">
        <v>4849</v>
      </c>
      <c r="B2274" s="1237" t="s">
        <v>4850</v>
      </c>
      <c r="C2274" s="1212">
        <v>2</v>
      </c>
      <c r="D2274" s="1212">
        <v>1</v>
      </c>
      <c r="E2274" s="1243">
        <f t="shared" si="301"/>
        <v>0.5</v>
      </c>
      <c r="F2274" s="1214"/>
      <c r="G2274" s="1214"/>
      <c r="H2274" s="1245" t="e">
        <f t="shared" si="302"/>
        <v>#DIV/0!</v>
      </c>
      <c r="I2274" s="1216">
        <f t="shared" si="304"/>
        <v>2</v>
      </c>
      <c r="J2274" s="860">
        <f t="shared" si="298"/>
        <v>1</v>
      </c>
      <c r="K2274" s="1217">
        <f t="shared" si="303"/>
        <v>0.5</v>
      </c>
      <c r="L2274" s="711"/>
      <c r="M2274" s="711"/>
    </row>
    <row r="2275" spans="1:13" ht="24.95" customHeight="1">
      <c r="A2275" s="1234" t="s">
        <v>4851</v>
      </c>
      <c r="B2275" s="1237" t="s">
        <v>4852</v>
      </c>
      <c r="C2275" s="1212">
        <v>1</v>
      </c>
      <c r="D2275" s="1212">
        <v>1</v>
      </c>
      <c r="E2275" s="1243">
        <f t="shared" si="301"/>
        <v>1</v>
      </c>
      <c r="F2275" s="1214">
        <v>1</v>
      </c>
      <c r="G2275" s="1214"/>
      <c r="H2275" s="1245">
        <f t="shared" si="302"/>
        <v>0</v>
      </c>
      <c r="I2275" s="1216">
        <f t="shared" si="304"/>
        <v>2</v>
      </c>
      <c r="J2275" s="860">
        <f t="shared" si="298"/>
        <v>1</v>
      </c>
      <c r="K2275" s="1217">
        <f t="shared" si="303"/>
        <v>0.5</v>
      </c>
      <c r="L2275" s="711"/>
      <c r="M2275" s="711"/>
    </row>
    <row r="2276" spans="1:13" ht="24.95" customHeight="1">
      <c r="A2276" s="1234" t="s">
        <v>4853</v>
      </c>
      <c r="B2276" s="1237" t="s">
        <v>4854</v>
      </c>
      <c r="C2276" s="1212">
        <v>2</v>
      </c>
      <c r="D2276" s="1212">
        <v>1</v>
      </c>
      <c r="E2276" s="1243">
        <f t="shared" si="301"/>
        <v>0.5</v>
      </c>
      <c r="F2276" s="1214">
        <v>3</v>
      </c>
      <c r="G2276" s="1214"/>
      <c r="H2276" s="1245">
        <f t="shared" si="302"/>
        <v>0</v>
      </c>
      <c r="I2276" s="1216">
        <f t="shared" si="304"/>
        <v>5</v>
      </c>
      <c r="J2276" s="860">
        <f t="shared" si="298"/>
        <v>1</v>
      </c>
      <c r="K2276" s="1217">
        <f t="shared" si="303"/>
        <v>0.2</v>
      </c>
      <c r="L2276" s="711"/>
      <c r="M2276" s="711"/>
    </row>
    <row r="2277" spans="1:13" ht="24.95" customHeight="1">
      <c r="A2277" s="1234" t="s">
        <v>4855</v>
      </c>
      <c r="B2277" s="1237" t="s">
        <v>4856</v>
      </c>
      <c r="C2277" s="1212"/>
      <c r="D2277" s="1212"/>
      <c r="E2277" s="1243" t="e">
        <f t="shared" si="301"/>
        <v>#DIV/0!</v>
      </c>
      <c r="F2277" s="1214">
        <v>1</v>
      </c>
      <c r="G2277" s="1214"/>
      <c r="H2277" s="1245">
        <f t="shared" si="302"/>
        <v>0</v>
      </c>
      <c r="I2277" s="1216"/>
      <c r="J2277" s="860">
        <f t="shared" si="298"/>
        <v>0</v>
      </c>
      <c r="K2277" s="1217" t="e">
        <f t="shared" si="303"/>
        <v>#DIV/0!</v>
      </c>
      <c r="L2277" s="711"/>
      <c r="M2277" s="711"/>
    </row>
    <row r="2278" spans="1:13" ht="24.95" customHeight="1">
      <c r="A2278" s="456" t="s">
        <v>4857</v>
      </c>
      <c r="B2278" s="1233" t="s">
        <v>4858</v>
      </c>
      <c r="C2278" s="1212">
        <v>2</v>
      </c>
      <c r="D2278" s="1212"/>
      <c r="E2278" s="1243">
        <f t="shared" si="301"/>
        <v>0</v>
      </c>
      <c r="F2278" s="1214">
        <v>3</v>
      </c>
      <c r="G2278" s="1214"/>
      <c r="H2278" s="1245">
        <f t="shared" si="302"/>
        <v>0</v>
      </c>
      <c r="I2278" s="1216">
        <f t="shared" ref="I2278:J2295" si="305">+C2278+F2278</f>
        <v>5</v>
      </c>
      <c r="J2278" s="860">
        <f t="shared" si="305"/>
        <v>0</v>
      </c>
      <c r="K2278" s="1217">
        <f t="shared" si="303"/>
        <v>0</v>
      </c>
      <c r="L2278" s="711"/>
      <c r="M2278" s="711"/>
    </row>
    <row r="2279" spans="1:13" ht="24.95" customHeight="1">
      <c r="A2279" s="456" t="s">
        <v>4859</v>
      </c>
      <c r="B2279" s="1233" t="s">
        <v>4860</v>
      </c>
      <c r="C2279" s="1212">
        <v>2</v>
      </c>
      <c r="D2279" s="1212"/>
      <c r="E2279" s="1243">
        <f t="shared" si="301"/>
        <v>0</v>
      </c>
      <c r="F2279" s="1214"/>
      <c r="G2279" s="1214"/>
      <c r="H2279" s="1245" t="e">
        <f t="shared" si="302"/>
        <v>#DIV/0!</v>
      </c>
      <c r="I2279" s="1216">
        <f t="shared" si="305"/>
        <v>2</v>
      </c>
      <c r="J2279" s="860">
        <f t="shared" si="305"/>
        <v>0</v>
      </c>
      <c r="K2279" s="1217">
        <f t="shared" si="303"/>
        <v>0</v>
      </c>
      <c r="L2279" s="711"/>
      <c r="M2279" s="711"/>
    </row>
    <row r="2280" spans="1:13" ht="24.95" customHeight="1">
      <c r="A2280" s="456" t="s">
        <v>4861</v>
      </c>
      <c r="B2280" s="1236" t="s">
        <v>4862</v>
      </c>
      <c r="C2280" s="1212">
        <v>1</v>
      </c>
      <c r="D2280" s="1212"/>
      <c r="E2280" s="1243">
        <f t="shared" si="301"/>
        <v>0</v>
      </c>
      <c r="F2280" s="1214"/>
      <c r="G2280" s="1214">
        <v>1</v>
      </c>
      <c r="H2280" s="1245" t="e">
        <f t="shared" si="302"/>
        <v>#DIV/0!</v>
      </c>
      <c r="I2280" s="1216">
        <f t="shared" si="305"/>
        <v>1</v>
      </c>
      <c r="J2280" s="860">
        <f t="shared" si="305"/>
        <v>1</v>
      </c>
      <c r="K2280" s="1217">
        <f t="shared" si="303"/>
        <v>1</v>
      </c>
      <c r="L2280" s="711"/>
      <c r="M2280" s="711"/>
    </row>
    <row r="2281" spans="1:13" ht="24.95" customHeight="1">
      <c r="A2281" s="1234" t="s">
        <v>4863</v>
      </c>
      <c r="B2281" s="1237" t="s">
        <v>4864</v>
      </c>
      <c r="C2281" s="1212"/>
      <c r="D2281" s="1212"/>
      <c r="E2281" s="1243" t="e">
        <f t="shared" si="301"/>
        <v>#DIV/0!</v>
      </c>
      <c r="F2281" s="1214"/>
      <c r="G2281" s="1214"/>
      <c r="H2281" s="1245" t="e">
        <f t="shared" si="302"/>
        <v>#DIV/0!</v>
      </c>
      <c r="I2281" s="1216">
        <f t="shared" si="305"/>
        <v>0</v>
      </c>
      <c r="J2281" s="860">
        <f t="shared" si="305"/>
        <v>0</v>
      </c>
      <c r="K2281" s="1217" t="e">
        <f t="shared" si="303"/>
        <v>#DIV/0!</v>
      </c>
      <c r="L2281" s="711"/>
      <c r="M2281" s="711"/>
    </row>
    <row r="2282" spans="1:13" ht="24.95" customHeight="1">
      <c r="A2282" s="456" t="s">
        <v>4865</v>
      </c>
      <c r="B2282" s="452" t="s">
        <v>4866</v>
      </c>
      <c r="C2282" s="1212">
        <v>3</v>
      </c>
      <c r="D2282" s="1212"/>
      <c r="E2282" s="1243">
        <f t="shared" si="301"/>
        <v>0</v>
      </c>
      <c r="F2282" s="1214">
        <v>3</v>
      </c>
      <c r="G2282" s="1214"/>
      <c r="H2282" s="1245">
        <f t="shared" si="302"/>
        <v>0</v>
      </c>
      <c r="I2282" s="1216">
        <f t="shared" si="305"/>
        <v>6</v>
      </c>
      <c r="J2282" s="860">
        <f t="shared" si="305"/>
        <v>0</v>
      </c>
      <c r="K2282" s="1217">
        <f t="shared" si="303"/>
        <v>0</v>
      </c>
      <c r="L2282" s="711"/>
      <c r="M2282" s="711"/>
    </row>
    <row r="2283" spans="1:13" ht="24.95" customHeight="1">
      <c r="A2283" s="1234" t="s">
        <v>4867</v>
      </c>
      <c r="B2283" s="1237" t="s">
        <v>4868</v>
      </c>
      <c r="C2283" s="1212">
        <v>1</v>
      </c>
      <c r="D2283" s="1212">
        <v>1</v>
      </c>
      <c r="E2283" s="1243">
        <f t="shared" si="301"/>
        <v>1</v>
      </c>
      <c r="F2283" s="1214"/>
      <c r="G2283" s="1214"/>
      <c r="H2283" s="1245" t="e">
        <f t="shared" si="302"/>
        <v>#DIV/0!</v>
      </c>
      <c r="I2283" s="1216">
        <f t="shared" si="305"/>
        <v>1</v>
      </c>
      <c r="J2283" s="860">
        <f t="shared" si="305"/>
        <v>1</v>
      </c>
      <c r="K2283" s="1217">
        <f t="shared" si="303"/>
        <v>1</v>
      </c>
      <c r="L2283" s="711"/>
      <c r="M2283" s="711"/>
    </row>
    <row r="2284" spans="1:13" ht="24.95" customHeight="1">
      <c r="A2284" s="1234" t="s">
        <v>4869</v>
      </c>
      <c r="B2284" s="1237" t="s">
        <v>4870</v>
      </c>
      <c r="C2284" s="1212">
        <v>1</v>
      </c>
      <c r="D2284" s="1212"/>
      <c r="E2284" s="1243">
        <f t="shared" si="301"/>
        <v>0</v>
      </c>
      <c r="F2284" s="1214"/>
      <c r="G2284" s="1214"/>
      <c r="H2284" s="1245" t="e">
        <f t="shared" si="302"/>
        <v>#DIV/0!</v>
      </c>
      <c r="I2284" s="1216">
        <f t="shared" si="305"/>
        <v>1</v>
      </c>
      <c r="J2284" s="860">
        <f t="shared" si="305"/>
        <v>0</v>
      </c>
      <c r="K2284" s="1217">
        <f t="shared" si="303"/>
        <v>0</v>
      </c>
      <c r="L2284" s="711"/>
      <c r="M2284" s="711"/>
    </row>
    <row r="2285" spans="1:13" ht="24.95" customHeight="1">
      <c r="A2285" s="456" t="s">
        <v>4871</v>
      </c>
      <c r="B2285" s="1236" t="s">
        <v>4872</v>
      </c>
      <c r="C2285" s="1212"/>
      <c r="D2285" s="1212"/>
      <c r="E2285" s="1243" t="e">
        <f t="shared" si="301"/>
        <v>#DIV/0!</v>
      </c>
      <c r="F2285" s="1214">
        <v>3</v>
      </c>
      <c r="G2285" s="1214"/>
      <c r="H2285" s="1245">
        <f t="shared" si="302"/>
        <v>0</v>
      </c>
      <c r="I2285" s="1216">
        <f t="shared" si="305"/>
        <v>3</v>
      </c>
      <c r="J2285" s="860">
        <f t="shared" si="305"/>
        <v>0</v>
      </c>
      <c r="K2285" s="1217">
        <f t="shared" si="303"/>
        <v>0</v>
      </c>
      <c r="L2285" s="711"/>
      <c r="M2285" s="711"/>
    </row>
    <row r="2286" spans="1:13" ht="24.95" customHeight="1">
      <c r="A2286" s="456" t="s">
        <v>4490</v>
      </c>
      <c r="B2286" s="1236" t="s">
        <v>4491</v>
      </c>
      <c r="C2286" s="1212">
        <v>1</v>
      </c>
      <c r="D2286" s="1212">
        <v>1</v>
      </c>
      <c r="E2286" s="1243">
        <f t="shared" si="301"/>
        <v>1</v>
      </c>
      <c r="F2286" s="1214"/>
      <c r="G2286" s="1214"/>
      <c r="H2286" s="1245" t="e">
        <f t="shared" si="302"/>
        <v>#DIV/0!</v>
      </c>
      <c r="I2286" s="1216">
        <f t="shared" si="305"/>
        <v>1</v>
      </c>
      <c r="J2286" s="860">
        <f t="shared" si="305"/>
        <v>1</v>
      </c>
      <c r="K2286" s="1217">
        <f t="shared" si="303"/>
        <v>1</v>
      </c>
      <c r="L2286" s="711"/>
      <c r="M2286" s="711"/>
    </row>
    <row r="2287" spans="1:13" ht="24.95" customHeight="1">
      <c r="A2287" s="456" t="s">
        <v>4873</v>
      </c>
      <c r="B2287" s="452" t="s">
        <v>4495</v>
      </c>
      <c r="C2287" s="1212">
        <v>3</v>
      </c>
      <c r="D2287" s="1212"/>
      <c r="E2287" s="1243">
        <f t="shared" si="301"/>
        <v>0</v>
      </c>
      <c r="F2287" s="1214"/>
      <c r="G2287" s="1214"/>
      <c r="H2287" s="1245" t="e">
        <f t="shared" si="302"/>
        <v>#DIV/0!</v>
      </c>
      <c r="I2287" s="1216">
        <f t="shared" si="305"/>
        <v>3</v>
      </c>
      <c r="J2287" s="860">
        <f t="shared" si="305"/>
        <v>0</v>
      </c>
      <c r="K2287" s="1217">
        <f t="shared" si="303"/>
        <v>0</v>
      </c>
      <c r="L2287" s="711"/>
      <c r="M2287" s="711"/>
    </row>
    <row r="2288" spans="1:13" s="711" customFormat="1" ht="24.95" customHeight="1">
      <c r="A2288" s="456" t="s">
        <v>4874</v>
      </c>
      <c r="B2288" s="452" t="s">
        <v>4875</v>
      </c>
      <c r="C2288" s="1252">
        <v>1</v>
      </c>
      <c r="D2288" s="1252"/>
      <c r="E2288" s="1243">
        <f t="shared" si="301"/>
        <v>0</v>
      </c>
      <c r="F2288" s="1253"/>
      <c r="G2288" s="1253"/>
      <c r="H2288" s="1245" t="e">
        <f t="shared" si="302"/>
        <v>#DIV/0!</v>
      </c>
      <c r="I2288" s="1216">
        <f t="shared" si="305"/>
        <v>1</v>
      </c>
      <c r="J2288" s="860">
        <f t="shared" si="305"/>
        <v>0</v>
      </c>
      <c r="K2288" s="1217">
        <f t="shared" si="303"/>
        <v>0</v>
      </c>
    </row>
    <row r="2289" spans="1:13" ht="24.95" customHeight="1">
      <c r="A2289" s="456" t="s">
        <v>4876</v>
      </c>
      <c r="B2289" s="1233" t="s">
        <v>4877</v>
      </c>
      <c r="C2289" s="1212">
        <v>1</v>
      </c>
      <c r="D2289" s="1212"/>
      <c r="E2289" s="1243">
        <f t="shared" si="301"/>
        <v>0</v>
      </c>
      <c r="F2289" s="1214">
        <v>2</v>
      </c>
      <c r="G2289" s="1214"/>
      <c r="H2289" s="1245">
        <f t="shared" si="302"/>
        <v>0</v>
      </c>
      <c r="I2289" s="1216">
        <f t="shared" si="305"/>
        <v>3</v>
      </c>
      <c r="J2289" s="860">
        <f t="shared" si="305"/>
        <v>0</v>
      </c>
      <c r="K2289" s="1217">
        <f t="shared" si="303"/>
        <v>0</v>
      </c>
      <c r="L2289" s="711"/>
      <c r="M2289" s="711"/>
    </row>
    <row r="2290" spans="1:13" ht="24.95" customHeight="1">
      <c r="A2290" s="456" t="s">
        <v>4878</v>
      </c>
      <c r="B2290" s="1233" t="s">
        <v>4879</v>
      </c>
      <c r="C2290" s="1212">
        <v>1</v>
      </c>
      <c r="D2290" s="1212">
        <v>1</v>
      </c>
      <c r="E2290" s="1243">
        <f t="shared" si="301"/>
        <v>1</v>
      </c>
      <c r="F2290" s="1214"/>
      <c r="G2290" s="1214"/>
      <c r="H2290" s="1245" t="e">
        <f t="shared" si="302"/>
        <v>#DIV/0!</v>
      </c>
      <c r="I2290" s="1216">
        <f t="shared" si="305"/>
        <v>1</v>
      </c>
      <c r="J2290" s="860">
        <f t="shared" si="305"/>
        <v>1</v>
      </c>
      <c r="K2290" s="1217">
        <f t="shared" si="303"/>
        <v>1</v>
      </c>
      <c r="L2290" s="711"/>
      <c r="M2290" s="711"/>
    </row>
    <row r="2291" spans="1:13" ht="24.95" customHeight="1">
      <c r="A2291" s="456" t="s">
        <v>4880</v>
      </c>
      <c r="B2291" s="452" t="s">
        <v>4881</v>
      </c>
      <c r="C2291" s="1226"/>
      <c r="D2291" s="1226"/>
      <c r="E2291" s="1243" t="e">
        <f t="shared" si="301"/>
        <v>#DIV/0!</v>
      </c>
      <c r="F2291" s="1227">
        <v>1</v>
      </c>
      <c r="G2291" s="1227"/>
      <c r="H2291" s="1245">
        <f t="shared" si="302"/>
        <v>0</v>
      </c>
      <c r="I2291" s="1216">
        <f t="shared" si="305"/>
        <v>1</v>
      </c>
      <c r="J2291" s="860">
        <f t="shared" si="305"/>
        <v>0</v>
      </c>
      <c r="K2291" s="1217">
        <f t="shared" si="303"/>
        <v>0</v>
      </c>
      <c r="L2291" s="711"/>
      <c r="M2291" s="711"/>
    </row>
    <row r="2292" spans="1:13" ht="24.95" customHeight="1">
      <c r="A2292" s="456" t="s">
        <v>4882</v>
      </c>
      <c r="B2292" s="1236" t="s">
        <v>4883</v>
      </c>
      <c r="C2292" s="1212"/>
      <c r="D2292" s="1212"/>
      <c r="E2292" s="1243" t="e">
        <f t="shared" si="301"/>
        <v>#DIV/0!</v>
      </c>
      <c r="F2292" s="1214"/>
      <c r="G2292" s="1214"/>
      <c r="H2292" s="1245" t="e">
        <f t="shared" si="302"/>
        <v>#DIV/0!</v>
      </c>
      <c r="I2292" s="1216">
        <f t="shared" si="305"/>
        <v>0</v>
      </c>
      <c r="J2292" s="860">
        <f t="shared" si="305"/>
        <v>0</v>
      </c>
      <c r="K2292" s="1217" t="e">
        <f t="shared" si="303"/>
        <v>#DIV/0!</v>
      </c>
      <c r="L2292" s="711"/>
      <c r="M2292" s="711"/>
    </row>
    <row r="2293" spans="1:13" ht="24.95" customHeight="1">
      <c r="A2293" s="1221" t="s">
        <v>4884</v>
      </c>
      <c r="B2293" s="1246" t="s">
        <v>4885</v>
      </c>
      <c r="C2293" s="1212">
        <v>1</v>
      </c>
      <c r="D2293" s="1212"/>
      <c r="E2293" s="1243">
        <f t="shared" si="301"/>
        <v>0</v>
      </c>
      <c r="F2293" s="1214">
        <v>3</v>
      </c>
      <c r="G2293" s="1214"/>
      <c r="H2293" s="1245">
        <f t="shared" si="302"/>
        <v>0</v>
      </c>
      <c r="I2293" s="1216">
        <f t="shared" si="305"/>
        <v>4</v>
      </c>
      <c r="J2293" s="860">
        <f t="shared" si="305"/>
        <v>0</v>
      </c>
      <c r="K2293" s="1217">
        <f t="shared" si="303"/>
        <v>0</v>
      </c>
      <c r="L2293" s="711"/>
      <c r="M2293" s="711"/>
    </row>
    <row r="2294" spans="1:13" ht="24.95" customHeight="1">
      <c r="A2294" s="1221" t="s">
        <v>4136</v>
      </c>
      <c r="B2294" s="1246" t="s">
        <v>4886</v>
      </c>
      <c r="C2294" s="1212">
        <v>2</v>
      </c>
      <c r="D2294" s="1212"/>
      <c r="E2294" s="1243">
        <f t="shared" si="301"/>
        <v>0</v>
      </c>
      <c r="F2294" s="1214">
        <v>2</v>
      </c>
      <c r="G2294" s="1214">
        <v>4</v>
      </c>
      <c r="H2294" s="1245">
        <f t="shared" si="302"/>
        <v>2</v>
      </c>
      <c r="I2294" s="1216">
        <f t="shared" si="305"/>
        <v>4</v>
      </c>
      <c r="J2294" s="860">
        <f t="shared" si="305"/>
        <v>4</v>
      </c>
      <c r="K2294" s="1217">
        <f t="shared" si="303"/>
        <v>1</v>
      </c>
      <c r="L2294" s="711"/>
      <c r="M2294" s="711"/>
    </row>
    <row r="2295" spans="1:13" ht="24.95" customHeight="1">
      <c r="A2295" s="1221" t="s">
        <v>4887</v>
      </c>
      <c r="B2295" s="1246" t="s">
        <v>4888</v>
      </c>
      <c r="C2295" s="1212">
        <v>3</v>
      </c>
      <c r="D2295" s="1212">
        <v>4</v>
      </c>
      <c r="E2295" s="1243">
        <f t="shared" si="301"/>
        <v>1.3333333333333333</v>
      </c>
      <c r="F2295" s="1214">
        <v>3</v>
      </c>
      <c r="G2295" s="1214"/>
      <c r="H2295" s="1245">
        <f t="shared" si="302"/>
        <v>0</v>
      </c>
      <c r="I2295" s="1216">
        <f t="shared" si="305"/>
        <v>6</v>
      </c>
      <c r="J2295" s="860">
        <f t="shared" si="305"/>
        <v>4</v>
      </c>
      <c r="K2295" s="1217">
        <f t="shared" si="303"/>
        <v>0.66666666666666663</v>
      </c>
      <c r="L2295" s="711"/>
      <c r="M2295" s="711"/>
    </row>
    <row r="2296" spans="1:13" ht="24.95" customHeight="1">
      <c r="A2296" s="1221" t="s">
        <v>4889</v>
      </c>
      <c r="B2296" s="1246" t="s">
        <v>4890</v>
      </c>
      <c r="C2296" s="1212"/>
      <c r="D2296" s="1212"/>
      <c r="E2296" s="1243" t="e">
        <f t="shared" si="301"/>
        <v>#DIV/0!</v>
      </c>
      <c r="F2296" s="1214">
        <v>2</v>
      </c>
      <c r="G2296" s="1214"/>
      <c r="H2296" s="1245">
        <f t="shared" si="302"/>
        <v>0</v>
      </c>
      <c r="I2296" s="1216"/>
      <c r="J2296" s="860">
        <f t="shared" ref="J2296:J2303" si="306">+D2296+G2296</f>
        <v>0</v>
      </c>
      <c r="K2296" s="1217" t="e">
        <f t="shared" si="303"/>
        <v>#DIV/0!</v>
      </c>
      <c r="L2296" s="711"/>
      <c r="M2296" s="711"/>
    </row>
    <row r="2297" spans="1:13" ht="24.95" customHeight="1">
      <c r="A2297" s="1235" t="s">
        <v>4891</v>
      </c>
      <c r="B2297" s="1236" t="s">
        <v>4892</v>
      </c>
      <c r="C2297" s="1212"/>
      <c r="D2297" s="1212"/>
      <c r="E2297" s="1243" t="e">
        <f t="shared" si="301"/>
        <v>#DIV/0!</v>
      </c>
      <c r="F2297" s="1214">
        <v>1</v>
      </c>
      <c r="G2297" s="1214"/>
      <c r="H2297" s="1245">
        <f t="shared" si="302"/>
        <v>0</v>
      </c>
      <c r="I2297" s="1216">
        <f t="shared" ref="I2297:I2303" si="307">+C2297+F2297</f>
        <v>1</v>
      </c>
      <c r="J2297" s="860">
        <f t="shared" si="306"/>
        <v>0</v>
      </c>
      <c r="K2297" s="1217">
        <f t="shared" si="303"/>
        <v>0</v>
      </c>
      <c r="L2297" s="711"/>
      <c r="M2297" s="711"/>
    </row>
    <row r="2298" spans="1:13" ht="24.95" customHeight="1">
      <c r="A2298" s="1235" t="s">
        <v>4893</v>
      </c>
      <c r="B2298" s="1233" t="s">
        <v>4894</v>
      </c>
      <c r="C2298" s="1212"/>
      <c r="D2298" s="1212"/>
      <c r="E2298" s="1243" t="e">
        <f t="shared" si="301"/>
        <v>#DIV/0!</v>
      </c>
      <c r="F2298" s="1214"/>
      <c r="G2298" s="1214"/>
      <c r="H2298" s="1245" t="e">
        <f t="shared" si="302"/>
        <v>#DIV/0!</v>
      </c>
      <c r="I2298" s="1216">
        <f t="shared" si="307"/>
        <v>0</v>
      </c>
      <c r="J2298" s="860">
        <f t="shared" si="306"/>
        <v>0</v>
      </c>
      <c r="K2298" s="1217" t="e">
        <f t="shared" si="303"/>
        <v>#DIV/0!</v>
      </c>
      <c r="L2298" s="711"/>
      <c r="M2298" s="711"/>
    </row>
    <row r="2299" spans="1:13" ht="24.95" customHeight="1">
      <c r="A2299" s="1235" t="s">
        <v>4895</v>
      </c>
      <c r="B2299" s="1233" t="s">
        <v>4896</v>
      </c>
      <c r="C2299" s="1212"/>
      <c r="D2299" s="1212"/>
      <c r="E2299" s="1243" t="e">
        <f t="shared" si="301"/>
        <v>#DIV/0!</v>
      </c>
      <c r="F2299" s="1214">
        <v>1</v>
      </c>
      <c r="G2299" s="1214"/>
      <c r="H2299" s="1245">
        <f t="shared" si="302"/>
        <v>0</v>
      </c>
      <c r="I2299" s="1216">
        <f t="shared" si="307"/>
        <v>1</v>
      </c>
      <c r="J2299" s="860">
        <f t="shared" si="306"/>
        <v>0</v>
      </c>
      <c r="K2299" s="1217">
        <f t="shared" si="303"/>
        <v>0</v>
      </c>
      <c r="L2299" s="711"/>
      <c r="M2299" s="711"/>
    </row>
    <row r="2300" spans="1:13" ht="24.95" customHeight="1">
      <c r="A2300" s="1234" t="s">
        <v>4897</v>
      </c>
      <c r="B2300" s="1237" t="s">
        <v>4898</v>
      </c>
      <c r="C2300" s="1212">
        <v>2</v>
      </c>
      <c r="D2300" s="1212"/>
      <c r="E2300" s="1243">
        <f t="shared" si="301"/>
        <v>0</v>
      </c>
      <c r="F2300" s="1214">
        <v>0</v>
      </c>
      <c r="G2300" s="1214">
        <v>2</v>
      </c>
      <c r="H2300" s="1245" t="e">
        <f t="shared" si="302"/>
        <v>#DIV/0!</v>
      </c>
      <c r="I2300" s="1216">
        <f t="shared" si="307"/>
        <v>2</v>
      </c>
      <c r="J2300" s="860">
        <f t="shared" si="306"/>
        <v>2</v>
      </c>
      <c r="K2300" s="1217">
        <f t="shared" si="303"/>
        <v>1</v>
      </c>
      <c r="L2300" s="711"/>
      <c r="M2300" s="711"/>
    </row>
    <row r="2301" spans="1:13" ht="24.95" customHeight="1">
      <c r="A2301" s="801" t="s">
        <v>4899</v>
      </c>
      <c r="B2301" s="802" t="s">
        <v>4900</v>
      </c>
      <c r="C2301" s="1212"/>
      <c r="D2301" s="1212"/>
      <c r="E2301" s="1243" t="e">
        <f t="shared" si="301"/>
        <v>#DIV/0!</v>
      </c>
      <c r="F2301" s="1214"/>
      <c r="G2301" s="1214"/>
      <c r="H2301" s="1245" t="e">
        <f t="shared" si="302"/>
        <v>#DIV/0!</v>
      </c>
      <c r="I2301" s="1216">
        <f t="shared" si="307"/>
        <v>0</v>
      </c>
      <c r="J2301" s="860">
        <f t="shared" si="306"/>
        <v>0</v>
      </c>
      <c r="K2301" s="1217" t="e">
        <f t="shared" si="303"/>
        <v>#DIV/0!</v>
      </c>
      <c r="L2301" s="711"/>
      <c r="M2301" s="711"/>
    </row>
    <row r="2302" spans="1:13" ht="24.95" customHeight="1">
      <c r="A2302" s="801" t="s">
        <v>4901</v>
      </c>
      <c r="B2302" s="802" t="s">
        <v>4902</v>
      </c>
      <c r="C2302" s="1212">
        <v>1</v>
      </c>
      <c r="D2302" s="1212"/>
      <c r="E2302" s="1243">
        <f t="shared" si="301"/>
        <v>0</v>
      </c>
      <c r="F2302" s="1214"/>
      <c r="G2302" s="1214"/>
      <c r="H2302" s="1245" t="e">
        <f t="shared" si="302"/>
        <v>#DIV/0!</v>
      </c>
      <c r="I2302" s="1216">
        <f t="shared" si="307"/>
        <v>1</v>
      </c>
      <c r="J2302" s="860">
        <f t="shared" si="306"/>
        <v>0</v>
      </c>
      <c r="K2302" s="1217">
        <f t="shared" si="303"/>
        <v>0</v>
      </c>
      <c r="L2302" s="711"/>
      <c r="M2302" s="711"/>
    </row>
    <row r="2303" spans="1:13" ht="24.95" customHeight="1">
      <c r="A2303" s="801" t="s">
        <v>4144</v>
      </c>
      <c r="B2303" s="802" t="s">
        <v>4903</v>
      </c>
      <c r="C2303" s="1212">
        <v>1</v>
      </c>
      <c r="D2303" s="1212"/>
      <c r="E2303" s="1243">
        <f t="shared" si="301"/>
        <v>0</v>
      </c>
      <c r="F2303" s="1214">
        <v>3</v>
      </c>
      <c r="G2303" s="1214"/>
      <c r="H2303" s="1245">
        <f t="shared" si="302"/>
        <v>0</v>
      </c>
      <c r="I2303" s="1216">
        <f t="shared" si="307"/>
        <v>4</v>
      </c>
      <c r="J2303" s="860">
        <f t="shared" si="306"/>
        <v>0</v>
      </c>
      <c r="K2303" s="1217">
        <f t="shared" si="303"/>
        <v>0</v>
      </c>
      <c r="L2303" s="711"/>
      <c r="M2303" s="711"/>
    </row>
    <row r="2304" spans="1:13" ht="24.95" customHeight="1">
      <c r="A2304" s="801"/>
      <c r="B2304" s="802" t="s">
        <v>2</v>
      </c>
      <c r="C2304" s="1238">
        <f t="shared" ref="C2304:J2304" si="308">SUM(C2187:C2303)</f>
        <v>1252</v>
      </c>
      <c r="D2304" s="1238">
        <f t="shared" si="308"/>
        <v>531</v>
      </c>
      <c r="E2304" s="1243">
        <f t="shared" si="301"/>
        <v>0.42412140575079871</v>
      </c>
      <c r="F2304" s="1238">
        <f t="shared" si="308"/>
        <v>199</v>
      </c>
      <c r="G2304" s="1238">
        <f t="shared" si="308"/>
        <v>33</v>
      </c>
      <c r="H2304" s="1245">
        <f t="shared" si="302"/>
        <v>0.16582914572864321</v>
      </c>
      <c r="I2304" s="1239">
        <f t="shared" si="308"/>
        <v>1443</v>
      </c>
      <c r="J2304" s="1239">
        <f t="shared" si="308"/>
        <v>564</v>
      </c>
      <c r="K2304" s="1217">
        <f t="shared" si="303"/>
        <v>0.39085239085239087</v>
      </c>
      <c r="L2304" s="711"/>
      <c r="M2304" s="711"/>
    </row>
    <row r="2305" spans="1:13" ht="24.95" customHeight="1">
      <c r="A2305" s="801"/>
      <c r="B2305" s="802" t="s">
        <v>2786</v>
      </c>
      <c r="C2305" s="1238">
        <f t="shared" ref="C2305:J2305" si="309">+C2185+C2304</f>
        <v>1299</v>
      </c>
      <c r="D2305" s="1238">
        <f t="shared" si="309"/>
        <v>547</v>
      </c>
      <c r="E2305" s="1243">
        <f t="shared" si="301"/>
        <v>0.42109314857582758</v>
      </c>
      <c r="F2305" s="1238">
        <f t="shared" si="309"/>
        <v>821</v>
      </c>
      <c r="G2305" s="1238">
        <f t="shared" si="309"/>
        <v>245</v>
      </c>
      <c r="H2305" s="1245">
        <f t="shared" si="302"/>
        <v>0.2984165651644336</v>
      </c>
      <c r="I2305" s="1239">
        <f t="shared" si="309"/>
        <v>2099</v>
      </c>
      <c r="J2305" s="1239">
        <f t="shared" si="309"/>
        <v>792</v>
      </c>
      <c r="K2305" s="1217">
        <f t="shared" si="303"/>
        <v>0.37732253454025727</v>
      </c>
      <c r="L2305" s="711"/>
      <c r="M2305" s="711"/>
    </row>
    <row r="2306" spans="1:13" ht="24.95" customHeight="1">
      <c r="A2306" s="2057" t="s">
        <v>2372</v>
      </c>
      <c r="B2306" s="2058"/>
      <c r="C2306" s="2058"/>
      <c r="D2306" s="2058"/>
      <c r="E2306" s="2058"/>
      <c r="F2306" s="2058"/>
      <c r="G2306" s="2058"/>
      <c r="H2306" s="2058"/>
      <c r="I2306" s="2058"/>
      <c r="J2306" s="770"/>
      <c r="K2306" s="1217"/>
      <c r="L2306" s="711"/>
      <c r="M2306" s="711"/>
    </row>
    <row r="2307" spans="1:13" ht="24.95" customHeight="1">
      <c r="A2307" s="1210"/>
      <c r="B2307" s="1254" t="s">
        <v>4904</v>
      </c>
      <c r="C2307" s="1999"/>
      <c r="D2307" s="1999"/>
      <c r="E2307" s="1999"/>
      <c r="F2307" s="1999"/>
      <c r="G2307" s="1999"/>
      <c r="H2307" s="1999"/>
      <c r="I2307" s="1999"/>
      <c r="J2307" s="770"/>
      <c r="K2307" s="1217"/>
      <c r="L2307" s="711"/>
      <c r="M2307" s="711"/>
    </row>
    <row r="2308" spans="1:13" ht="24.95" customHeight="1">
      <c r="A2308" s="1255" t="s">
        <v>2373</v>
      </c>
      <c r="B2308" s="1256" t="s">
        <v>2374</v>
      </c>
      <c r="C2308" s="1257">
        <v>1</v>
      </c>
      <c r="D2308" s="1257"/>
      <c r="E2308" s="1258">
        <f>+D2308/C2308</f>
        <v>0</v>
      </c>
      <c r="F2308" s="1257"/>
      <c r="G2308" s="1257"/>
      <c r="H2308" s="1258" t="e">
        <f>+G2308/F2308</f>
        <v>#DIV/0!</v>
      </c>
      <c r="I2308" s="1259"/>
      <c r="J2308" s="860">
        <f>+D2308+G2308</f>
        <v>0</v>
      </c>
      <c r="K2308" s="1217" t="e">
        <f>+J2308/I2308</f>
        <v>#DIV/0!</v>
      </c>
      <c r="L2308" s="711"/>
      <c r="M2308" s="711"/>
    </row>
    <row r="2309" spans="1:13" ht="24.95" customHeight="1">
      <c r="A2309" s="456" t="s">
        <v>2387</v>
      </c>
      <c r="B2309" s="452" t="s">
        <v>2388</v>
      </c>
      <c r="C2309" s="1226"/>
      <c r="D2309" s="1226"/>
      <c r="E2309" s="1258" t="e">
        <f t="shared" ref="E2309:E2372" si="310">+D2309/C2309</f>
        <v>#DIV/0!</v>
      </c>
      <c r="F2309" s="1227">
        <v>480</v>
      </c>
      <c r="G2309" s="1227">
        <v>160</v>
      </c>
      <c r="H2309" s="1258">
        <f t="shared" ref="H2309:H2372" si="311">+G2309/F2309</f>
        <v>0.33333333333333331</v>
      </c>
      <c r="I2309" s="1216">
        <f t="shared" ref="I2309:J2324" si="312">+C2309+F2309</f>
        <v>480</v>
      </c>
      <c r="J2309" s="860">
        <f t="shared" si="312"/>
        <v>160</v>
      </c>
      <c r="K2309" s="1217">
        <f t="shared" ref="K2309:K2372" si="313">+J2309/I2309</f>
        <v>0.33333333333333331</v>
      </c>
      <c r="L2309" s="711"/>
      <c r="M2309" s="711"/>
    </row>
    <row r="2310" spans="1:13" ht="24.95" customHeight="1">
      <c r="A2310" s="456">
        <v>130207</v>
      </c>
      <c r="B2310" s="1260" t="s">
        <v>2390</v>
      </c>
      <c r="C2310" s="1226">
        <v>25</v>
      </c>
      <c r="D2310" s="1226">
        <v>2</v>
      </c>
      <c r="E2310" s="1258">
        <f t="shared" si="310"/>
        <v>0.08</v>
      </c>
      <c r="F2310" s="1227">
        <v>5</v>
      </c>
      <c r="G2310" s="1227"/>
      <c r="H2310" s="1258">
        <f t="shared" si="311"/>
        <v>0</v>
      </c>
      <c r="I2310" s="1216">
        <f t="shared" si="312"/>
        <v>30</v>
      </c>
      <c r="J2310" s="860">
        <f t="shared" si="312"/>
        <v>2</v>
      </c>
      <c r="K2310" s="1217">
        <f t="shared" si="313"/>
        <v>6.6666666666666666E-2</v>
      </c>
      <c r="L2310" s="711"/>
      <c r="M2310" s="711"/>
    </row>
    <row r="2311" spans="1:13" ht="24.95" customHeight="1">
      <c r="A2311" s="456" t="s">
        <v>2393</v>
      </c>
      <c r="B2311" s="452" t="s">
        <v>2394</v>
      </c>
      <c r="C2311" s="1226"/>
      <c r="D2311" s="1226"/>
      <c r="E2311" s="1258" t="e">
        <f t="shared" si="310"/>
        <v>#DIV/0!</v>
      </c>
      <c r="F2311" s="1227">
        <v>10</v>
      </c>
      <c r="G2311" s="1227">
        <v>14</v>
      </c>
      <c r="H2311" s="1258">
        <f t="shared" si="311"/>
        <v>1.4</v>
      </c>
      <c r="I2311" s="1216">
        <f t="shared" si="312"/>
        <v>10</v>
      </c>
      <c r="J2311" s="860">
        <f t="shared" si="312"/>
        <v>14</v>
      </c>
      <c r="K2311" s="1217">
        <f t="shared" si="313"/>
        <v>1.4</v>
      </c>
      <c r="L2311" s="711"/>
      <c r="M2311" s="711"/>
    </row>
    <row r="2312" spans="1:13" ht="24.95" customHeight="1">
      <c r="A2312" s="456" t="s">
        <v>2395</v>
      </c>
      <c r="B2312" s="452" t="s">
        <v>2396</v>
      </c>
      <c r="C2312" s="1226"/>
      <c r="D2312" s="1226"/>
      <c r="E2312" s="1258" t="e">
        <f t="shared" si="310"/>
        <v>#DIV/0!</v>
      </c>
      <c r="F2312" s="1227">
        <v>330</v>
      </c>
      <c r="G2312" s="1227">
        <v>105</v>
      </c>
      <c r="H2312" s="1258">
        <f t="shared" si="311"/>
        <v>0.31818181818181818</v>
      </c>
      <c r="I2312" s="1216">
        <f t="shared" si="312"/>
        <v>330</v>
      </c>
      <c r="J2312" s="860">
        <f t="shared" si="312"/>
        <v>105</v>
      </c>
      <c r="K2312" s="1217">
        <f t="shared" si="313"/>
        <v>0.31818181818181818</v>
      </c>
      <c r="L2312" s="711"/>
      <c r="M2312" s="711"/>
    </row>
    <row r="2313" spans="1:13" ht="24.95" customHeight="1">
      <c r="A2313" s="456" t="s">
        <v>2401</v>
      </c>
      <c r="B2313" s="1246" t="s">
        <v>2402</v>
      </c>
      <c r="C2313" s="1226"/>
      <c r="D2313" s="1226"/>
      <c r="E2313" s="1258" t="e">
        <f t="shared" si="310"/>
        <v>#DIV/0!</v>
      </c>
      <c r="F2313" s="1227">
        <v>2350</v>
      </c>
      <c r="G2313" s="1227">
        <v>808</v>
      </c>
      <c r="H2313" s="1258">
        <f t="shared" si="311"/>
        <v>0.34382978723404256</v>
      </c>
      <c r="I2313" s="1216">
        <f t="shared" si="312"/>
        <v>2350</v>
      </c>
      <c r="J2313" s="860">
        <f t="shared" si="312"/>
        <v>808</v>
      </c>
      <c r="K2313" s="1217">
        <f t="shared" si="313"/>
        <v>0.34382978723404256</v>
      </c>
      <c r="L2313" s="711"/>
      <c r="M2313" s="711"/>
    </row>
    <row r="2314" spans="1:13" ht="24.95" customHeight="1">
      <c r="A2314" s="456" t="s">
        <v>2805</v>
      </c>
      <c r="B2314" s="452" t="s">
        <v>3547</v>
      </c>
      <c r="C2314" s="1226"/>
      <c r="D2314" s="1226"/>
      <c r="E2314" s="1258" t="e">
        <f t="shared" si="310"/>
        <v>#DIV/0!</v>
      </c>
      <c r="F2314" s="1227">
        <v>400</v>
      </c>
      <c r="G2314" s="1227">
        <v>151</v>
      </c>
      <c r="H2314" s="1258">
        <f t="shared" si="311"/>
        <v>0.3775</v>
      </c>
      <c r="I2314" s="1216">
        <f t="shared" si="312"/>
        <v>400</v>
      </c>
      <c r="J2314" s="860">
        <f t="shared" si="312"/>
        <v>151</v>
      </c>
      <c r="K2314" s="1217">
        <f t="shared" si="313"/>
        <v>0.3775</v>
      </c>
      <c r="L2314" s="711"/>
      <c r="M2314" s="711"/>
    </row>
    <row r="2315" spans="1:13" ht="24.95" customHeight="1">
      <c r="A2315" s="456">
        <v>250107</v>
      </c>
      <c r="B2315" s="452" t="s">
        <v>4905</v>
      </c>
      <c r="C2315" s="1226"/>
      <c r="D2315" s="1226"/>
      <c r="E2315" s="1258" t="e">
        <f t="shared" si="310"/>
        <v>#DIV/0!</v>
      </c>
      <c r="F2315" s="1227">
        <v>5</v>
      </c>
      <c r="G2315" s="1227"/>
      <c r="H2315" s="1258">
        <f t="shared" si="311"/>
        <v>0</v>
      </c>
      <c r="I2315" s="1216">
        <f t="shared" si="312"/>
        <v>5</v>
      </c>
      <c r="J2315" s="860">
        <f t="shared" si="312"/>
        <v>0</v>
      </c>
      <c r="K2315" s="1217">
        <f t="shared" si="313"/>
        <v>0</v>
      </c>
      <c r="L2315" s="711"/>
      <c r="M2315" s="711"/>
    </row>
    <row r="2316" spans="1:13" ht="24.95" customHeight="1">
      <c r="A2316" s="448" t="s">
        <v>3117</v>
      </c>
      <c r="B2316" s="1261" t="s">
        <v>3118</v>
      </c>
      <c r="C2316" s="1226"/>
      <c r="D2316" s="1226"/>
      <c r="E2316" s="1258" t="e">
        <f t="shared" si="310"/>
        <v>#DIV/0!</v>
      </c>
      <c r="F2316" s="1227"/>
      <c r="G2316" s="1227"/>
      <c r="H2316" s="1258" t="e">
        <f t="shared" si="311"/>
        <v>#DIV/0!</v>
      </c>
      <c r="I2316" s="1216">
        <f t="shared" si="312"/>
        <v>0</v>
      </c>
      <c r="J2316" s="860">
        <f t="shared" si="312"/>
        <v>0</v>
      </c>
      <c r="K2316" s="1217" t="e">
        <f t="shared" si="313"/>
        <v>#DIV/0!</v>
      </c>
      <c r="L2316" s="711"/>
      <c r="M2316" s="711"/>
    </row>
    <row r="2317" spans="1:13" ht="24.95" customHeight="1">
      <c r="A2317" s="448" t="s">
        <v>3125</v>
      </c>
      <c r="B2317" s="1261" t="s">
        <v>4906</v>
      </c>
      <c r="C2317" s="1226"/>
      <c r="D2317" s="1226"/>
      <c r="E2317" s="1258" t="e">
        <f t="shared" si="310"/>
        <v>#DIV/0!</v>
      </c>
      <c r="F2317" s="1227">
        <v>1</v>
      </c>
      <c r="G2317" s="1227"/>
      <c r="H2317" s="1258">
        <f t="shared" si="311"/>
        <v>0</v>
      </c>
      <c r="I2317" s="1216"/>
      <c r="J2317" s="860">
        <f t="shared" si="312"/>
        <v>0</v>
      </c>
      <c r="K2317" s="1217" t="e">
        <f t="shared" si="313"/>
        <v>#DIV/0!</v>
      </c>
      <c r="L2317" s="711"/>
      <c r="M2317" s="711"/>
    </row>
    <row r="2318" spans="1:13" ht="24.95" customHeight="1">
      <c r="A2318" s="1262" t="s">
        <v>3959</v>
      </c>
      <c r="B2318" s="1263" t="s">
        <v>3960</v>
      </c>
      <c r="C2318" s="1226"/>
      <c r="D2318" s="1226"/>
      <c r="E2318" s="1258" t="e">
        <f t="shared" si="310"/>
        <v>#DIV/0!</v>
      </c>
      <c r="F2318" s="1227">
        <v>20</v>
      </c>
      <c r="G2318" s="1227"/>
      <c r="H2318" s="1258">
        <f t="shared" si="311"/>
        <v>0</v>
      </c>
      <c r="I2318" s="1216">
        <f t="shared" ref="I2318:J2338" si="314">+C2318+F2318</f>
        <v>20</v>
      </c>
      <c r="J2318" s="860">
        <f t="shared" si="312"/>
        <v>0</v>
      </c>
      <c r="K2318" s="1217">
        <f t="shared" si="313"/>
        <v>0</v>
      </c>
      <c r="L2318" s="711"/>
      <c r="M2318" s="711"/>
    </row>
    <row r="2319" spans="1:13" ht="24.95" customHeight="1">
      <c r="A2319" s="1262" t="s">
        <v>3961</v>
      </c>
      <c r="B2319" s="1263" t="s">
        <v>4907</v>
      </c>
      <c r="C2319" s="1226"/>
      <c r="D2319" s="1226"/>
      <c r="E2319" s="1258" t="e">
        <f t="shared" si="310"/>
        <v>#DIV/0!</v>
      </c>
      <c r="F2319" s="1227"/>
      <c r="G2319" s="1227"/>
      <c r="H2319" s="1258" t="e">
        <f t="shared" si="311"/>
        <v>#DIV/0!</v>
      </c>
      <c r="I2319" s="1216">
        <f t="shared" si="314"/>
        <v>0</v>
      </c>
      <c r="J2319" s="860">
        <f t="shared" si="312"/>
        <v>0</v>
      </c>
      <c r="K2319" s="1217" t="e">
        <f t="shared" si="313"/>
        <v>#DIV/0!</v>
      </c>
      <c r="L2319" s="711"/>
      <c r="M2319" s="711"/>
    </row>
    <row r="2320" spans="1:13" s="711" customFormat="1" ht="24.95" customHeight="1">
      <c r="A2320" s="1264" t="s">
        <v>2808</v>
      </c>
      <c r="B2320" s="1265" t="s">
        <v>4908</v>
      </c>
      <c r="C2320" s="1252">
        <v>3</v>
      </c>
      <c r="D2320" s="1252">
        <v>1</v>
      </c>
      <c r="E2320" s="1258">
        <f t="shared" si="310"/>
        <v>0.33333333333333331</v>
      </c>
      <c r="F2320" s="1253">
        <v>10</v>
      </c>
      <c r="G2320" s="1253">
        <v>27</v>
      </c>
      <c r="H2320" s="1258">
        <f t="shared" si="311"/>
        <v>2.7</v>
      </c>
      <c r="I2320" s="1216">
        <f t="shared" si="314"/>
        <v>13</v>
      </c>
      <c r="J2320" s="860">
        <f t="shared" si="312"/>
        <v>28</v>
      </c>
      <c r="K2320" s="1217">
        <f t="shared" si="313"/>
        <v>2.1538461538461537</v>
      </c>
    </row>
    <row r="2321" spans="1:13" ht="24.95" customHeight="1">
      <c r="A2321" s="1262" t="s">
        <v>2812</v>
      </c>
      <c r="B2321" s="1266" t="s">
        <v>3020</v>
      </c>
      <c r="C2321" s="1226"/>
      <c r="D2321" s="1226"/>
      <c r="E2321" s="1258" t="e">
        <f t="shared" si="310"/>
        <v>#DIV/0!</v>
      </c>
      <c r="F2321" s="1227">
        <v>10</v>
      </c>
      <c r="G2321" s="1227"/>
      <c r="H2321" s="1258">
        <f t="shared" si="311"/>
        <v>0</v>
      </c>
      <c r="I2321" s="1216">
        <f t="shared" si="314"/>
        <v>10</v>
      </c>
      <c r="J2321" s="860">
        <f t="shared" si="312"/>
        <v>0</v>
      </c>
      <c r="K2321" s="1217">
        <f t="shared" si="313"/>
        <v>0</v>
      </c>
      <c r="L2321" s="711"/>
      <c r="M2321" s="711"/>
    </row>
    <row r="2322" spans="1:13" ht="24.95" customHeight="1">
      <c r="A2322" s="1250" t="s">
        <v>2419</v>
      </c>
      <c r="B2322" s="1251" t="s">
        <v>4114</v>
      </c>
      <c r="C2322" s="1226">
        <v>5</v>
      </c>
      <c r="D2322" s="1226">
        <v>1</v>
      </c>
      <c r="E2322" s="1258">
        <f t="shared" si="310"/>
        <v>0.2</v>
      </c>
      <c r="F2322" s="1227"/>
      <c r="G2322" s="1227"/>
      <c r="H2322" s="1258" t="e">
        <f t="shared" si="311"/>
        <v>#DIV/0!</v>
      </c>
      <c r="I2322" s="1216">
        <f t="shared" si="314"/>
        <v>5</v>
      </c>
      <c r="J2322" s="860">
        <f t="shared" si="312"/>
        <v>1</v>
      </c>
      <c r="K2322" s="1217">
        <f t="shared" si="313"/>
        <v>0.2</v>
      </c>
      <c r="L2322" s="711"/>
      <c r="M2322" s="711"/>
    </row>
    <row r="2323" spans="1:13" ht="24.95" customHeight="1">
      <c r="A2323" s="1250" t="s">
        <v>3555</v>
      </c>
      <c r="B2323" s="1251" t="s">
        <v>4909</v>
      </c>
      <c r="C2323" s="1226">
        <v>2</v>
      </c>
      <c r="D2323" s="1226">
        <v>1</v>
      </c>
      <c r="E2323" s="1258">
        <f t="shared" si="310"/>
        <v>0.5</v>
      </c>
      <c r="F2323" s="1227">
        <v>1</v>
      </c>
      <c r="G2323" s="1227"/>
      <c r="H2323" s="1258">
        <f t="shared" si="311"/>
        <v>0</v>
      </c>
      <c r="I2323" s="1216">
        <f t="shared" si="314"/>
        <v>3</v>
      </c>
      <c r="J2323" s="860">
        <f t="shared" si="312"/>
        <v>1</v>
      </c>
      <c r="K2323" s="1217">
        <f t="shared" si="313"/>
        <v>0.33333333333333331</v>
      </c>
      <c r="L2323" s="711"/>
      <c r="M2323" s="711"/>
    </row>
    <row r="2324" spans="1:13" ht="24.95" customHeight="1">
      <c r="A2324" s="456" t="s">
        <v>4910</v>
      </c>
      <c r="B2324" s="452" t="s">
        <v>4911</v>
      </c>
      <c r="C2324" s="1226"/>
      <c r="D2324" s="1226">
        <v>1</v>
      </c>
      <c r="E2324" s="1258" t="e">
        <f t="shared" si="310"/>
        <v>#DIV/0!</v>
      </c>
      <c r="F2324" s="1227">
        <v>1</v>
      </c>
      <c r="G2324" s="1227"/>
      <c r="H2324" s="1258">
        <f t="shared" si="311"/>
        <v>0</v>
      </c>
      <c r="I2324" s="1216">
        <f t="shared" si="314"/>
        <v>1</v>
      </c>
      <c r="J2324" s="860">
        <f t="shared" si="312"/>
        <v>1</v>
      </c>
      <c r="K2324" s="1217">
        <f t="shared" si="313"/>
        <v>1</v>
      </c>
      <c r="L2324" s="711"/>
      <c r="M2324" s="711"/>
    </row>
    <row r="2325" spans="1:13" ht="24.95" customHeight="1">
      <c r="A2325" s="1250" t="s">
        <v>3557</v>
      </c>
      <c r="B2325" s="1251" t="s">
        <v>4115</v>
      </c>
      <c r="C2325" s="1226">
        <v>15</v>
      </c>
      <c r="D2325" s="1226">
        <v>3</v>
      </c>
      <c r="E2325" s="1258">
        <f t="shared" si="310"/>
        <v>0.2</v>
      </c>
      <c r="F2325" s="1227">
        <v>3</v>
      </c>
      <c r="G2325" s="1227">
        <v>1</v>
      </c>
      <c r="H2325" s="1258">
        <f t="shared" si="311"/>
        <v>0.33333333333333331</v>
      </c>
      <c r="I2325" s="1216">
        <f t="shared" si="314"/>
        <v>18</v>
      </c>
      <c r="J2325" s="860">
        <f t="shared" si="314"/>
        <v>4</v>
      </c>
      <c r="K2325" s="1217">
        <f t="shared" si="313"/>
        <v>0.22222222222222221</v>
      </c>
      <c r="L2325" s="711"/>
      <c r="M2325" s="711"/>
    </row>
    <row r="2326" spans="1:13" ht="24.95" customHeight="1">
      <c r="A2326" s="1221" t="s">
        <v>2423</v>
      </c>
      <c r="B2326" s="1222" t="s">
        <v>2424</v>
      </c>
      <c r="C2326" s="1226">
        <v>880</v>
      </c>
      <c r="D2326" s="1226">
        <v>439</v>
      </c>
      <c r="E2326" s="1258">
        <f t="shared" si="310"/>
        <v>0.49886363636363634</v>
      </c>
      <c r="F2326" s="1227">
        <v>1650</v>
      </c>
      <c r="G2326" s="1227">
        <v>878</v>
      </c>
      <c r="H2326" s="1258">
        <f t="shared" si="311"/>
        <v>0.53212121212121211</v>
      </c>
      <c r="I2326" s="1216">
        <f t="shared" si="314"/>
        <v>2530</v>
      </c>
      <c r="J2326" s="860">
        <f t="shared" si="314"/>
        <v>1317</v>
      </c>
      <c r="K2326" s="1217">
        <f t="shared" si="313"/>
        <v>0.52055335968379446</v>
      </c>
      <c r="L2326" s="711"/>
      <c r="M2326" s="711"/>
    </row>
    <row r="2327" spans="1:13" ht="24.95" customHeight="1">
      <c r="A2327" s="456" t="s">
        <v>4912</v>
      </c>
      <c r="B2327" s="452" t="s">
        <v>4913</v>
      </c>
      <c r="C2327" s="1226"/>
      <c r="D2327" s="1226"/>
      <c r="E2327" s="1258" t="e">
        <f t="shared" si="310"/>
        <v>#DIV/0!</v>
      </c>
      <c r="F2327" s="1227"/>
      <c r="G2327" s="1227"/>
      <c r="H2327" s="1258" t="e">
        <f t="shared" si="311"/>
        <v>#DIV/0!</v>
      </c>
      <c r="I2327" s="1216">
        <f t="shared" si="314"/>
        <v>0</v>
      </c>
      <c r="J2327" s="860">
        <f t="shared" si="314"/>
        <v>0</v>
      </c>
      <c r="K2327" s="1217" t="e">
        <f t="shared" si="313"/>
        <v>#DIV/0!</v>
      </c>
      <c r="L2327" s="711"/>
      <c r="M2327" s="711"/>
    </row>
    <row r="2328" spans="1:13" ht="24.95" customHeight="1">
      <c r="A2328" s="456" t="s">
        <v>2817</v>
      </c>
      <c r="B2328" s="452" t="s">
        <v>2818</v>
      </c>
      <c r="C2328" s="1226">
        <v>5</v>
      </c>
      <c r="D2328" s="1226">
        <v>1</v>
      </c>
      <c r="E2328" s="1258">
        <f t="shared" si="310"/>
        <v>0.2</v>
      </c>
      <c r="F2328" s="1227"/>
      <c r="G2328" s="1227"/>
      <c r="H2328" s="1258" t="e">
        <f t="shared" si="311"/>
        <v>#DIV/0!</v>
      </c>
      <c r="I2328" s="1216">
        <f t="shared" si="314"/>
        <v>5</v>
      </c>
      <c r="J2328" s="860">
        <f t="shared" si="314"/>
        <v>1</v>
      </c>
      <c r="K2328" s="1217">
        <f t="shared" si="313"/>
        <v>0.2</v>
      </c>
      <c r="L2328" s="711"/>
      <c r="M2328" s="711"/>
    </row>
    <row r="2329" spans="1:13" ht="24.95" customHeight="1">
      <c r="A2329" s="456" t="s">
        <v>2429</v>
      </c>
      <c r="B2329" s="452" t="s">
        <v>2430</v>
      </c>
      <c r="C2329" s="1226"/>
      <c r="D2329" s="1226"/>
      <c r="E2329" s="1258" t="e">
        <f t="shared" si="310"/>
        <v>#DIV/0!</v>
      </c>
      <c r="F2329" s="1227">
        <v>460</v>
      </c>
      <c r="G2329" s="1227">
        <v>194</v>
      </c>
      <c r="H2329" s="1258">
        <f t="shared" si="311"/>
        <v>0.42173913043478262</v>
      </c>
      <c r="I2329" s="1216">
        <f t="shared" si="314"/>
        <v>460</v>
      </c>
      <c r="J2329" s="860">
        <f t="shared" si="314"/>
        <v>194</v>
      </c>
      <c r="K2329" s="1217">
        <f t="shared" si="313"/>
        <v>0.42173913043478262</v>
      </c>
      <c r="L2329" s="711"/>
      <c r="M2329" s="711"/>
    </row>
    <row r="2330" spans="1:13" ht="24.95" customHeight="1">
      <c r="A2330" s="1235" t="s">
        <v>2431</v>
      </c>
      <c r="B2330" s="1236" t="s">
        <v>2432</v>
      </c>
      <c r="C2330" s="1226"/>
      <c r="D2330" s="1226"/>
      <c r="E2330" s="1258" t="e">
        <f t="shared" si="310"/>
        <v>#DIV/0!</v>
      </c>
      <c r="F2330" s="1227"/>
      <c r="G2330" s="1227"/>
      <c r="H2330" s="1258" t="e">
        <f t="shared" si="311"/>
        <v>#DIV/0!</v>
      </c>
      <c r="I2330" s="1216">
        <f t="shared" si="314"/>
        <v>0</v>
      </c>
      <c r="J2330" s="860">
        <f t="shared" si="314"/>
        <v>0</v>
      </c>
      <c r="K2330" s="1217" t="e">
        <f t="shared" si="313"/>
        <v>#DIV/0!</v>
      </c>
      <c r="L2330" s="711"/>
      <c r="M2330" s="711"/>
    </row>
    <row r="2331" spans="1:13" ht="24.95" customHeight="1">
      <c r="A2331" s="456" t="s">
        <v>4914</v>
      </c>
      <c r="B2331" s="452" t="s">
        <v>4915</v>
      </c>
      <c r="C2331" s="1226"/>
      <c r="D2331" s="1226"/>
      <c r="E2331" s="1258" t="e">
        <f t="shared" si="310"/>
        <v>#DIV/0!</v>
      </c>
      <c r="F2331" s="1227"/>
      <c r="G2331" s="1227"/>
      <c r="H2331" s="1258" t="e">
        <f t="shared" si="311"/>
        <v>#DIV/0!</v>
      </c>
      <c r="I2331" s="1216">
        <f t="shared" si="314"/>
        <v>0</v>
      </c>
      <c r="J2331" s="860">
        <f t="shared" si="314"/>
        <v>0</v>
      </c>
      <c r="K2331" s="1217" t="e">
        <f t="shared" si="313"/>
        <v>#DIV/0!</v>
      </c>
      <c r="L2331" s="711"/>
      <c r="M2331" s="711"/>
    </row>
    <row r="2332" spans="1:13" ht="24.95" customHeight="1">
      <c r="A2332" s="456" t="s">
        <v>4916</v>
      </c>
      <c r="B2332" s="452" t="s">
        <v>4917</v>
      </c>
      <c r="C2332" s="1226">
        <v>40</v>
      </c>
      <c r="D2332" s="1226">
        <v>23</v>
      </c>
      <c r="E2332" s="1258">
        <f t="shared" si="310"/>
        <v>0.57499999999999996</v>
      </c>
      <c r="F2332" s="1227">
        <v>5</v>
      </c>
      <c r="G2332" s="1227"/>
      <c r="H2332" s="1258">
        <f t="shared" si="311"/>
        <v>0</v>
      </c>
      <c r="I2332" s="1216">
        <f t="shared" si="314"/>
        <v>45</v>
      </c>
      <c r="J2332" s="860">
        <f t="shared" si="314"/>
        <v>23</v>
      </c>
      <c r="K2332" s="1217">
        <f t="shared" si="313"/>
        <v>0.51111111111111107</v>
      </c>
      <c r="L2332" s="711"/>
      <c r="M2332" s="711"/>
    </row>
    <row r="2333" spans="1:13" ht="24.95" customHeight="1">
      <c r="A2333" s="456" t="s">
        <v>4918</v>
      </c>
      <c r="B2333" s="452" t="s">
        <v>4919</v>
      </c>
      <c r="C2333" s="1226"/>
      <c r="D2333" s="1226">
        <v>1</v>
      </c>
      <c r="E2333" s="1258" t="e">
        <f t="shared" si="310"/>
        <v>#DIV/0!</v>
      </c>
      <c r="F2333" s="1227"/>
      <c r="G2333" s="1227"/>
      <c r="H2333" s="1258" t="e">
        <f t="shared" si="311"/>
        <v>#DIV/0!</v>
      </c>
      <c r="I2333" s="1216">
        <f t="shared" si="314"/>
        <v>0</v>
      </c>
      <c r="J2333" s="860">
        <f t="shared" si="314"/>
        <v>1</v>
      </c>
      <c r="K2333" s="1217" t="e">
        <f t="shared" si="313"/>
        <v>#DIV/0!</v>
      </c>
      <c r="L2333" s="711"/>
      <c r="M2333" s="711"/>
    </row>
    <row r="2334" spans="1:13" ht="24.95" customHeight="1">
      <c r="A2334" s="456" t="s">
        <v>4920</v>
      </c>
      <c r="B2334" s="452" t="s">
        <v>4921</v>
      </c>
      <c r="C2334" s="1226"/>
      <c r="D2334" s="1226"/>
      <c r="E2334" s="1258" t="e">
        <f t="shared" si="310"/>
        <v>#DIV/0!</v>
      </c>
      <c r="F2334" s="1227"/>
      <c r="G2334" s="1227"/>
      <c r="H2334" s="1258" t="e">
        <f t="shared" si="311"/>
        <v>#DIV/0!</v>
      </c>
      <c r="I2334" s="1216">
        <f t="shared" si="314"/>
        <v>0</v>
      </c>
      <c r="J2334" s="860">
        <f t="shared" si="314"/>
        <v>0</v>
      </c>
      <c r="K2334" s="1217" t="e">
        <f t="shared" si="313"/>
        <v>#DIV/0!</v>
      </c>
      <c r="L2334" s="711"/>
      <c r="M2334" s="711"/>
    </row>
    <row r="2335" spans="1:13" ht="24.95" customHeight="1">
      <c r="A2335" s="456" t="s">
        <v>4922</v>
      </c>
      <c r="B2335" s="452" t="s">
        <v>4923</v>
      </c>
      <c r="C2335" s="1226">
        <v>25</v>
      </c>
      <c r="D2335" s="1226">
        <v>11</v>
      </c>
      <c r="E2335" s="1258">
        <f t="shared" si="310"/>
        <v>0.44</v>
      </c>
      <c r="F2335" s="1227"/>
      <c r="G2335" s="1227">
        <v>1</v>
      </c>
      <c r="H2335" s="1258" t="e">
        <f t="shared" si="311"/>
        <v>#DIV/0!</v>
      </c>
      <c r="I2335" s="1216">
        <f t="shared" si="314"/>
        <v>25</v>
      </c>
      <c r="J2335" s="860">
        <f t="shared" si="314"/>
        <v>12</v>
      </c>
      <c r="K2335" s="1217">
        <f t="shared" si="313"/>
        <v>0.48</v>
      </c>
      <c r="L2335" s="711"/>
      <c r="M2335" s="711"/>
    </row>
    <row r="2336" spans="1:13" ht="24.95" customHeight="1">
      <c r="A2336" s="456" t="s">
        <v>4924</v>
      </c>
      <c r="B2336" s="452" t="s">
        <v>4925</v>
      </c>
      <c r="C2336" s="1226"/>
      <c r="D2336" s="1226"/>
      <c r="E2336" s="1258" t="e">
        <f t="shared" si="310"/>
        <v>#DIV/0!</v>
      </c>
      <c r="F2336" s="1227"/>
      <c r="G2336" s="1227"/>
      <c r="H2336" s="1258" t="e">
        <f t="shared" si="311"/>
        <v>#DIV/0!</v>
      </c>
      <c r="I2336" s="1216">
        <f t="shared" si="314"/>
        <v>0</v>
      </c>
      <c r="J2336" s="860">
        <f t="shared" si="314"/>
        <v>0</v>
      </c>
      <c r="K2336" s="1217" t="e">
        <f t="shared" si="313"/>
        <v>#DIV/0!</v>
      </c>
      <c r="L2336" s="711"/>
      <c r="M2336" s="711"/>
    </row>
    <row r="2337" spans="1:13" ht="24.95" customHeight="1">
      <c r="A2337" s="456" t="s">
        <v>4926</v>
      </c>
      <c r="B2337" s="452" t="s">
        <v>4927</v>
      </c>
      <c r="C2337" s="1226">
        <v>3</v>
      </c>
      <c r="D2337" s="1226">
        <v>2</v>
      </c>
      <c r="E2337" s="1258">
        <f t="shared" si="310"/>
        <v>0.66666666666666663</v>
      </c>
      <c r="F2337" s="1227"/>
      <c r="G2337" s="1227"/>
      <c r="H2337" s="1258" t="e">
        <f t="shared" si="311"/>
        <v>#DIV/0!</v>
      </c>
      <c r="I2337" s="1216">
        <f t="shared" si="314"/>
        <v>3</v>
      </c>
      <c r="J2337" s="860">
        <f t="shared" si="314"/>
        <v>2</v>
      </c>
      <c r="K2337" s="1217">
        <f t="shared" si="313"/>
        <v>0.66666666666666663</v>
      </c>
      <c r="L2337" s="711"/>
      <c r="M2337" s="711"/>
    </row>
    <row r="2338" spans="1:13" ht="24.95" customHeight="1">
      <c r="A2338" s="456" t="s">
        <v>4928</v>
      </c>
      <c r="B2338" s="452" t="s">
        <v>4929</v>
      </c>
      <c r="C2338" s="1226">
        <v>10</v>
      </c>
      <c r="D2338" s="1226">
        <v>4</v>
      </c>
      <c r="E2338" s="1258">
        <f t="shared" si="310"/>
        <v>0.4</v>
      </c>
      <c r="F2338" s="1227">
        <v>1</v>
      </c>
      <c r="G2338" s="1227"/>
      <c r="H2338" s="1258">
        <f t="shared" si="311"/>
        <v>0</v>
      </c>
      <c r="I2338" s="1216">
        <f t="shared" si="314"/>
        <v>11</v>
      </c>
      <c r="J2338" s="860">
        <f t="shared" si="314"/>
        <v>4</v>
      </c>
      <c r="K2338" s="1217">
        <f t="shared" si="313"/>
        <v>0.36363636363636365</v>
      </c>
      <c r="L2338" s="711"/>
      <c r="M2338" s="711"/>
    </row>
    <row r="2339" spans="1:13" ht="24.95" customHeight="1">
      <c r="A2339" s="456" t="s">
        <v>4930</v>
      </c>
      <c r="B2339" s="452" t="s">
        <v>4931</v>
      </c>
      <c r="C2339" s="1226">
        <v>1</v>
      </c>
      <c r="D2339" s="1226">
        <v>1</v>
      </c>
      <c r="E2339" s="1258">
        <f t="shared" si="310"/>
        <v>1</v>
      </c>
      <c r="F2339" s="1227"/>
      <c r="G2339" s="1227"/>
      <c r="H2339" s="1258" t="e">
        <f t="shared" si="311"/>
        <v>#DIV/0!</v>
      </c>
      <c r="I2339" s="1216"/>
      <c r="J2339" s="860">
        <f t="shared" ref="J2339:J2402" si="315">+D2339+G2339</f>
        <v>1</v>
      </c>
      <c r="K2339" s="1217" t="e">
        <f t="shared" si="313"/>
        <v>#DIV/0!</v>
      </c>
      <c r="L2339" s="711"/>
      <c r="M2339" s="711"/>
    </row>
    <row r="2340" spans="1:13" ht="24.95" customHeight="1">
      <c r="A2340" s="456" t="s">
        <v>4932</v>
      </c>
      <c r="B2340" s="452" t="s">
        <v>4933</v>
      </c>
      <c r="C2340" s="1226">
        <v>1</v>
      </c>
      <c r="D2340" s="1226"/>
      <c r="E2340" s="1258">
        <f t="shared" si="310"/>
        <v>0</v>
      </c>
      <c r="F2340" s="1227"/>
      <c r="G2340" s="1227"/>
      <c r="H2340" s="1258" t="e">
        <f t="shared" si="311"/>
        <v>#DIV/0!</v>
      </c>
      <c r="I2340" s="1216">
        <f t="shared" ref="I2340:J2403" si="316">+C2340+F2340</f>
        <v>1</v>
      </c>
      <c r="J2340" s="860">
        <f t="shared" si="315"/>
        <v>0</v>
      </c>
      <c r="K2340" s="1217">
        <f t="shared" si="313"/>
        <v>0</v>
      </c>
      <c r="L2340" s="711"/>
      <c r="M2340" s="711"/>
    </row>
    <row r="2341" spans="1:13" ht="24.95" customHeight="1">
      <c r="A2341" s="1235" t="s">
        <v>4934</v>
      </c>
      <c r="B2341" s="1236" t="s">
        <v>4935</v>
      </c>
      <c r="C2341" s="1226">
        <v>2</v>
      </c>
      <c r="D2341" s="1226"/>
      <c r="E2341" s="1258">
        <f t="shared" si="310"/>
        <v>0</v>
      </c>
      <c r="F2341" s="1227"/>
      <c r="G2341" s="1227"/>
      <c r="H2341" s="1258" t="e">
        <f t="shared" si="311"/>
        <v>#DIV/0!</v>
      </c>
      <c r="I2341" s="1216">
        <f t="shared" si="316"/>
        <v>2</v>
      </c>
      <c r="J2341" s="860">
        <f t="shared" si="315"/>
        <v>0</v>
      </c>
      <c r="K2341" s="1217">
        <f t="shared" si="313"/>
        <v>0</v>
      </c>
      <c r="L2341" s="711"/>
      <c r="M2341" s="711"/>
    </row>
    <row r="2342" spans="1:13" ht="24.95" customHeight="1">
      <c r="A2342" s="456" t="s">
        <v>4936</v>
      </c>
      <c r="B2342" s="1236" t="s">
        <v>4937</v>
      </c>
      <c r="C2342" s="1212">
        <v>3</v>
      </c>
      <c r="D2342" s="1212">
        <v>1</v>
      </c>
      <c r="E2342" s="1258">
        <f t="shared" si="310"/>
        <v>0.33333333333333331</v>
      </c>
      <c r="F2342" s="1214"/>
      <c r="G2342" s="1214"/>
      <c r="H2342" s="1258" t="e">
        <f t="shared" si="311"/>
        <v>#DIV/0!</v>
      </c>
      <c r="I2342" s="1216">
        <f t="shared" si="316"/>
        <v>3</v>
      </c>
      <c r="J2342" s="860">
        <f t="shared" si="315"/>
        <v>1</v>
      </c>
      <c r="K2342" s="1217">
        <f t="shared" si="313"/>
        <v>0.33333333333333331</v>
      </c>
      <c r="L2342" s="711"/>
      <c r="M2342" s="711"/>
    </row>
    <row r="2343" spans="1:13" ht="24.95" customHeight="1">
      <c r="A2343" s="456" t="s">
        <v>4938</v>
      </c>
      <c r="B2343" s="452" t="s">
        <v>4939</v>
      </c>
      <c r="C2343" s="1226">
        <v>20</v>
      </c>
      <c r="D2343" s="1226">
        <v>9</v>
      </c>
      <c r="E2343" s="1258">
        <f t="shared" si="310"/>
        <v>0.45</v>
      </c>
      <c r="F2343" s="1227">
        <v>10</v>
      </c>
      <c r="G2343" s="1227">
        <v>6</v>
      </c>
      <c r="H2343" s="1258">
        <f t="shared" si="311"/>
        <v>0.6</v>
      </c>
      <c r="I2343" s="1216">
        <f t="shared" si="316"/>
        <v>30</v>
      </c>
      <c r="J2343" s="860">
        <f t="shared" si="315"/>
        <v>15</v>
      </c>
      <c r="K2343" s="1217">
        <f t="shared" si="313"/>
        <v>0.5</v>
      </c>
      <c r="L2343" s="711"/>
      <c r="M2343" s="711"/>
    </row>
    <row r="2344" spans="1:13" ht="24.95" customHeight="1">
      <c r="A2344" s="456" t="s">
        <v>4940</v>
      </c>
      <c r="B2344" s="452" t="s">
        <v>4941</v>
      </c>
      <c r="C2344" s="1226">
        <v>1</v>
      </c>
      <c r="D2344" s="1226"/>
      <c r="E2344" s="1258">
        <f t="shared" si="310"/>
        <v>0</v>
      </c>
      <c r="F2344" s="1227"/>
      <c r="G2344" s="1227"/>
      <c r="H2344" s="1258" t="e">
        <f t="shared" si="311"/>
        <v>#DIV/0!</v>
      </c>
      <c r="I2344" s="1216">
        <f t="shared" si="316"/>
        <v>1</v>
      </c>
      <c r="J2344" s="860">
        <f t="shared" si="315"/>
        <v>0</v>
      </c>
      <c r="K2344" s="1217">
        <f t="shared" si="313"/>
        <v>0</v>
      </c>
      <c r="L2344" s="711"/>
      <c r="M2344" s="711"/>
    </row>
    <row r="2345" spans="1:13" ht="24.95" customHeight="1">
      <c r="A2345" s="456" t="s">
        <v>4942</v>
      </c>
      <c r="B2345" s="452" t="s">
        <v>4943</v>
      </c>
      <c r="C2345" s="1226">
        <v>1</v>
      </c>
      <c r="D2345" s="1226"/>
      <c r="E2345" s="1258">
        <f t="shared" si="310"/>
        <v>0</v>
      </c>
      <c r="F2345" s="1227"/>
      <c r="G2345" s="1227"/>
      <c r="H2345" s="1258" t="e">
        <f t="shared" si="311"/>
        <v>#DIV/0!</v>
      </c>
      <c r="I2345" s="1216">
        <f t="shared" si="316"/>
        <v>1</v>
      </c>
      <c r="J2345" s="860">
        <f t="shared" si="315"/>
        <v>0</v>
      </c>
      <c r="K2345" s="1217">
        <f t="shared" si="313"/>
        <v>0</v>
      </c>
      <c r="L2345" s="711"/>
      <c r="M2345" s="711"/>
    </row>
    <row r="2346" spans="1:13" ht="24.95" customHeight="1">
      <c r="A2346" s="456" t="s">
        <v>4944</v>
      </c>
      <c r="B2346" s="452" t="s">
        <v>4945</v>
      </c>
      <c r="C2346" s="1226">
        <v>20</v>
      </c>
      <c r="D2346" s="1226">
        <v>3</v>
      </c>
      <c r="E2346" s="1258">
        <f t="shared" si="310"/>
        <v>0.15</v>
      </c>
      <c r="F2346" s="1227">
        <v>1</v>
      </c>
      <c r="G2346" s="1227"/>
      <c r="H2346" s="1258">
        <f t="shared" si="311"/>
        <v>0</v>
      </c>
      <c r="I2346" s="1216">
        <f t="shared" si="316"/>
        <v>21</v>
      </c>
      <c r="J2346" s="860">
        <f t="shared" si="315"/>
        <v>3</v>
      </c>
      <c r="K2346" s="1217">
        <f t="shared" si="313"/>
        <v>0.14285714285714285</v>
      </c>
      <c r="L2346" s="711"/>
      <c r="M2346" s="711"/>
    </row>
    <row r="2347" spans="1:13" ht="24.95" customHeight="1">
      <c r="A2347" s="456" t="s">
        <v>4946</v>
      </c>
      <c r="B2347" s="1233" t="s">
        <v>4947</v>
      </c>
      <c r="C2347" s="1226"/>
      <c r="D2347" s="1226">
        <v>1</v>
      </c>
      <c r="E2347" s="1258" t="e">
        <f t="shared" si="310"/>
        <v>#DIV/0!</v>
      </c>
      <c r="F2347" s="1227"/>
      <c r="G2347" s="1227"/>
      <c r="H2347" s="1258" t="e">
        <f t="shared" si="311"/>
        <v>#DIV/0!</v>
      </c>
      <c r="I2347" s="1216">
        <f t="shared" si="316"/>
        <v>0</v>
      </c>
      <c r="J2347" s="860">
        <f t="shared" si="315"/>
        <v>1</v>
      </c>
      <c r="K2347" s="1217" t="e">
        <f t="shared" si="313"/>
        <v>#DIV/0!</v>
      </c>
      <c r="L2347" s="711"/>
      <c r="M2347" s="711"/>
    </row>
    <row r="2348" spans="1:13" ht="24.95" customHeight="1">
      <c r="A2348" s="456" t="s">
        <v>4948</v>
      </c>
      <c r="B2348" s="452" t="s">
        <v>4949</v>
      </c>
      <c r="C2348" s="1226">
        <v>2</v>
      </c>
      <c r="D2348" s="1226"/>
      <c r="E2348" s="1258">
        <f t="shared" si="310"/>
        <v>0</v>
      </c>
      <c r="F2348" s="1227"/>
      <c r="G2348" s="1227"/>
      <c r="H2348" s="1258" t="e">
        <f t="shared" si="311"/>
        <v>#DIV/0!</v>
      </c>
      <c r="I2348" s="1216">
        <f t="shared" si="316"/>
        <v>2</v>
      </c>
      <c r="J2348" s="860">
        <f t="shared" si="315"/>
        <v>0</v>
      </c>
      <c r="K2348" s="1217">
        <f t="shared" si="313"/>
        <v>0</v>
      </c>
      <c r="L2348" s="711"/>
      <c r="M2348" s="711"/>
    </row>
    <row r="2349" spans="1:13" ht="24.95" customHeight="1">
      <c r="A2349" s="1235" t="s">
        <v>4950</v>
      </c>
      <c r="B2349" s="1236" t="s">
        <v>4951</v>
      </c>
      <c r="C2349" s="1226">
        <v>5</v>
      </c>
      <c r="D2349" s="1226">
        <v>6</v>
      </c>
      <c r="E2349" s="1258">
        <f t="shared" si="310"/>
        <v>1.2</v>
      </c>
      <c r="F2349" s="1227"/>
      <c r="G2349" s="1227"/>
      <c r="H2349" s="1258" t="e">
        <f t="shared" si="311"/>
        <v>#DIV/0!</v>
      </c>
      <c r="I2349" s="1216">
        <f t="shared" si="316"/>
        <v>5</v>
      </c>
      <c r="J2349" s="860">
        <f t="shared" si="315"/>
        <v>6</v>
      </c>
      <c r="K2349" s="1217">
        <f t="shared" si="313"/>
        <v>1.2</v>
      </c>
      <c r="L2349" s="711"/>
      <c r="M2349" s="711"/>
    </row>
    <row r="2350" spans="1:13" ht="24.95" customHeight="1">
      <c r="A2350" s="1235" t="s">
        <v>4859</v>
      </c>
      <c r="B2350" s="1233" t="s">
        <v>4860</v>
      </c>
      <c r="C2350" s="1226"/>
      <c r="D2350" s="1226"/>
      <c r="E2350" s="1258" t="e">
        <f t="shared" si="310"/>
        <v>#DIV/0!</v>
      </c>
      <c r="F2350" s="1227"/>
      <c r="G2350" s="1227"/>
      <c r="H2350" s="1258" t="e">
        <f t="shared" si="311"/>
        <v>#DIV/0!</v>
      </c>
      <c r="I2350" s="1216">
        <f t="shared" si="316"/>
        <v>0</v>
      </c>
      <c r="J2350" s="860">
        <f t="shared" si="315"/>
        <v>0</v>
      </c>
      <c r="K2350" s="1217" t="e">
        <f t="shared" si="313"/>
        <v>#DIV/0!</v>
      </c>
      <c r="L2350" s="711"/>
      <c r="M2350" s="711"/>
    </row>
    <row r="2351" spans="1:13" ht="24.95" customHeight="1">
      <c r="A2351" s="1235" t="s">
        <v>4952</v>
      </c>
      <c r="B2351" s="1233" t="s">
        <v>4953</v>
      </c>
      <c r="C2351" s="1226">
        <v>1</v>
      </c>
      <c r="D2351" s="1226">
        <v>1</v>
      </c>
      <c r="E2351" s="1258">
        <f t="shared" si="310"/>
        <v>1</v>
      </c>
      <c r="F2351" s="1227"/>
      <c r="G2351" s="1227"/>
      <c r="H2351" s="1258" t="e">
        <f t="shared" si="311"/>
        <v>#DIV/0!</v>
      </c>
      <c r="I2351" s="1216">
        <f t="shared" si="316"/>
        <v>1</v>
      </c>
      <c r="J2351" s="860">
        <f t="shared" si="315"/>
        <v>1</v>
      </c>
      <c r="K2351" s="1217">
        <f t="shared" si="313"/>
        <v>1</v>
      </c>
      <c r="L2351" s="711"/>
      <c r="M2351" s="711"/>
    </row>
    <row r="2352" spans="1:13" ht="24.95" customHeight="1">
      <c r="A2352" s="1235" t="s">
        <v>4954</v>
      </c>
      <c r="B2352" s="1233" t="s">
        <v>4955</v>
      </c>
      <c r="C2352" s="1226">
        <v>5</v>
      </c>
      <c r="D2352" s="1226">
        <v>2</v>
      </c>
      <c r="E2352" s="1258">
        <f t="shared" si="310"/>
        <v>0.4</v>
      </c>
      <c r="F2352" s="1227"/>
      <c r="G2352" s="1227"/>
      <c r="H2352" s="1258" t="e">
        <f t="shared" si="311"/>
        <v>#DIV/0!</v>
      </c>
      <c r="I2352" s="1216">
        <f t="shared" si="316"/>
        <v>5</v>
      </c>
      <c r="J2352" s="860">
        <f t="shared" si="315"/>
        <v>2</v>
      </c>
      <c r="K2352" s="1217">
        <f t="shared" si="313"/>
        <v>0.4</v>
      </c>
      <c r="L2352" s="711"/>
      <c r="M2352" s="711"/>
    </row>
    <row r="2353" spans="1:13" ht="24.95" customHeight="1">
      <c r="A2353" s="1235" t="s">
        <v>4956</v>
      </c>
      <c r="B2353" s="1233" t="s">
        <v>4957</v>
      </c>
      <c r="C2353" s="1226">
        <v>3</v>
      </c>
      <c r="D2353" s="1226">
        <v>1</v>
      </c>
      <c r="E2353" s="1258">
        <f t="shared" si="310"/>
        <v>0.33333333333333331</v>
      </c>
      <c r="F2353" s="1227"/>
      <c r="G2353" s="1227"/>
      <c r="H2353" s="1258" t="e">
        <f t="shared" si="311"/>
        <v>#DIV/0!</v>
      </c>
      <c r="I2353" s="1216">
        <f t="shared" si="316"/>
        <v>3</v>
      </c>
      <c r="J2353" s="860">
        <f t="shared" si="315"/>
        <v>1</v>
      </c>
      <c r="K2353" s="1217">
        <f t="shared" si="313"/>
        <v>0.33333333333333331</v>
      </c>
      <c r="L2353" s="711"/>
      <c r="M2353" s="711"/>
    </row>
    <row r="2354" spans="1:13" ht="24.95" customHeight="1">
      <c r="A2354" s="1235" t="s">
        <v>4958</v>
      </c>
      <c r="B2354" s="1236" t="s">
        <v>4959</v>
      </c>
      <c r="C2354" s="1226">
        <v>10</v>
      </c>
      <c r="D2354" s="1226">
        <v>2</v>
      </c>
      <c r="E2354" s="1258">
        <f t="shared" si="310"/>
        <v>0.2</v>
      </c>
      <c r="F2354" s="1227"/>
      <c r="G2354" s="1227"/>
      <c r="H2354" s="1258" t="e">
        <f t="shared" si="311"/>
        <v>#DIV/0!</v>
      </c>
      <c r="I2354" s="1216">
        <f t="shared" si="316"/>
        <v>10</v>
      </c>
      <c r="J2354" s="860">
        <f t="shared" si="315"/>
        <v>2</v>
      </c>
      <c r="K2354" s="1217">
        <f t="shared" si="313"/>
        <v>0.2</v>
      </c>
      <c r="L2354" s="711"/>
      <c r="M2354" s="711"/>
    </row>
    <row r="2355" spans="1:13" ht="24.95" customHeight="1">
      <c r="A2355" s="1235" t="s">
        <v>4960</v>
      </c>
      <c r="B2355" s="1236" t="s">
        <v>4961</v>
      </c>
      <c r="C2355" s="1226">
        <v>1</v>
      </c>
      <c r="D2355" s="1226"/>
      <c r="E2355" s="1258">
        <f t="shared" si="310"/>
        <v>0</v>
      </c>
      <c r="F2355" s="1227"/>
      <c r="G2355" s="1227"/>
      <c r="H2355" s="1258" t="e">
        <f t="shared" si="311"/>
        <v>#DIV/0!</v>
      </c>
      <c r="I2355" s="1216">
        <f t="shared" si="316"/>
        <v>1</v>
      </c>
      <c r="J2355" s="860">
        <f t="shared" si="315"/>
        <v>0</v>
      </c>
      <c r="K2355" s="1217">
        <f t="shared" si="313"/>
        <v>0</v>
      </c>
      <c r="L2355" s="711"/>
      <c r="M2355" s="711"/>
    </row>
    <row r="2356" spans="1:13" ht="24.95" customHeight="1">
      <c r="A2356" s="456" t="s">
        <v>4962</v>
      </c>
      <c r="B2356" s="452" t="s">
        <v>4963</v>
      </c>
      <c r="C2356" s="1226">
        <v>330</v>
      </c>
      <c r="D2356" s="1226">
        <v>181</v>
      </c>
      <c r="E2356" s="1258">
        <f t="shared" si="310"/>
        <v>0.54848484848484846</v>
      </c>
      <c r="F2356" s="1227">
        <v>10</v>
      </c>
      <c r="G2356" s="1227">
        <v>4</v>
      </c>
      <c r="H2356" s="1258">
        <f t="shared" si="311"/>
        <v>0.4</v>
      </c>
      <c r="I2356" s="1216">
        <f t="shared" si="316"/>
        <v>340</v>
      </c>
      <c r="J2356" s="860">
        <f t="shared" si="315"/>
        <v>185</v>
      </c>
      <c r="K2356" s="1217">
        <f t="shared" si="313"/>
        <v>0.54411764705882348</v>
      </c>
      <c r="L2356" s="711"/>
      <c r="M2356" s="711"/>
    </row>
    <row r="2357" spans="1:13" ht="24.95" customHeight="1">
      <c r="A2357" s="456" t="s">
        <v>4964</v>
      </c>
      <c r="B2357" s="452" t="s">
        <v>4965</v>
      </c>
      <c r="C2357" s="1226">
        <v>15</v>
      </c>
      <c r="D2357" s="1226">
        <v>18</v>
      </c>
      <c r="E2357" s="1258">
        <f t="shared" si="310"/>
        <v>1.2</v>
      </c>
      <c r="F2357" s="1227">
        <v>5</v>
      </c>
      <c r="G2357" s="1227"/>
      <c r="H2357" s="1258">
        <f t="shared" si="311"/>
        <v>0</v>
      </c>
      <c r="I2357" s="1216">
        <f t="shared" si="316"/>
        <v>20</v>
      </c>
      <c r="J2357" s="860">
        <f t="shared" si="315"/>
        <v>18</v>
      </c>
      <c r="K2357" s="1217">
        <f t="shared" si="313"/>
        <v>0.9</v>
      </c>
      <c r="L2357" s="711"/>
      <c r="M2357" s="711"/>
    </row>
    <row r="2358" spans="1:13" ht="24.95" customHeight="1">
      <c r="A2358" s="456" t="s">
        <v>4966</v>
      </c>
      <c r="B2358" s="452" t="s">
        <v>4967</v>
      </c>
      <c r="C2358" s="1226">
        <v>210</v>
      </c>
      <c r="D2358" s="1226">
        <v>101</v>
      </c>
      <c r="E2358" s="1258">
        <f t="shared" si="310"/>
        <v>0.48095238095238096</v>
      </c>
      <c r="F2358" s="1227">
        <v>1</v>
      </c>
      <c r="G2358" s="1227"/>
      <c r="H2358" s="1258">
        <f t="shared" si="311"/>
        <v>0</v>
      </c>
      <c r="I2358" s="1216">
        <f t="shared" si="316"/>
        <v>211</v>
      </c>
      <c r="J2358" s="860">
        <f t="shared" si="315"/>
        <v>101</v>
      </c>
      <c r="K2358" s="1217">
        <f t="shared" si="313"/>
        <v>0.47867298578199052</v>
      </c>
      <c r="L2358" s="711"/>
      <c r="M2358" s="711"/>
    </row>
    <row r="2359" spans="1:13" ht="24.95" customHeight="1">
      <c r="A2359" s="456" t="s">
        <v>4968</v>
      </c>
      <c r="B2359" s="452" t="s">
        <v>4969</v>
      </c>
      <c r="C2359" s="1226">
        <v>3</v>
      </c>
      <c r="D2359" s="1226">
        <v>2</v>
      </c>
      <c r="E2359" s="1258">
        <f t="shared" si="310"/>
        <v>0.66666666666666663</v>
      </c>
      <c r="F2359" s="1227"/>
      <c r="G2359" s="1227"/>
      <c r="H2359" s="1258" t="e">
        <f t="shared" si="311"/>
        <v>#DIV/0!</v>
      </c>
      <c r="I2359" s="1216">
        <f t="shared" si="316"/>
        <v>3</v>
      </c>
      <c r="J2359" s="860">
        <f t="shared" si="315"/>
        <v>2</v>
      </c>
      <c r="K2359" s="1217">
        <f t="shared" si="313"/>
        <v>0.66666666666666663</v>
      </c>
      <c r="L2359" s="711"/>
      <c r="M2359" s="711"/>
    </row>
    <row r="2360" spans="1:13" ht="24.95" customHeight="1">
      <c r="A2360" s="1235" t="s">
        <v>4970</v>
      </c>
      <c r="B2360" s="1236" t="s">
        <v>4971</v>
      </c>
      <c r="C2360" s="1226">
        <v>0</v>
      </c>
      <c r="D2360" s="1226"/>
      <c r="E2360" s="1258" t="e">
        <f t="shared" si="310"/>
        <v>#DIV/0!</v>
      </c>
      <c r="F2360" s="1227"/>
      <c r="G2360" s="1227"/>
      <c r="H2360" s="1258" t="e">
        <f t="shared" si="311"/>
        <v>#DIV/0!</v>
      </c>
      <c r="I2360" s="1216">
        <f t="shared" si="316"/>
        <v>0</v>
      </c>
      <c r="J2360" s="860">
        <f t="shared" si="315"/>
        <v>0</v>
      </c>
      <c r="K2360" s="1217" t="e">
        <f t="shared" si="313"/>
        <v>#DIV/0!</v>
      </c>
      <c r="L2360" s="711"/>
      <c r="M2360" s="711"/>
    </row>
    <row r="2361" spans="1:13" ht="24.95" customHeight="1">
      <c r="A2361" s="1235" t="s">
        <v>4972</v>
      </c>
      <c r="B2361" s="452" t="s">
        <v>4973</v>
      </c>
      <c r="C2361" s="1226"/>
      <c r="D2361" s="1226"/>
      <c r="E2361" s="1258" t="e">
        <f t="shared" si="310"/>
        <v>#DIV/0!</v>
      </c>
      <c r="F2361" s="1227"/>
      <c r="G2361" s="1227"/>
      <c r="H2361" s="1258" t="e">
        <f t="shared" si="311"/>
        <v>#DIV/0!</v>
      </c>
      <c r="I2361" s="1216">
        <f t="shared" si="316"/>
        <v>0</v>
      </c>
      <c r="J2361" s="860">
        <f t="shared" si="315"/>
        <v>0</v>
      </c>
      <c r="K2361" s="1217" t="e">
        <f t="shared" si="313"/>
        <v>#DIV/0!</v>
      </c>
      <c r="L2361" s="711"/>
      <c r="M2361" s="711"/>
    </row>
    <row r="2362" spans="1:13" ht="24.95" customHeight="1">
      <c r="A2362" s="456" t="s">
        <v>4974</v>
      </c>
      <c r="B2362" s="452" t="s">
        <v>4975</v>
      </c>
      <c r="C2362" s="1226"/>
      <c r="D2362" s="1226"/>
      <c r="E2362" s="1258" t="e">
        <f t="shared" si="310"/>
        <v>#DIV/0!</v>
      </c>
      <c r="F2362" s="1227">
        <v>2</v>
      </c>
      <c r="G2362" s="1227"/>
      <c r="H2362" s="1258">
        <f t="shared" si="311"/>
        <v>0</v>
      </c>
      <c r="I2362" s="1216">
        <f t="shared" si="316"/>
        <v>2</v>
      </c>
      <c r="J2362" s="860">
        <f t="shared" si="315"/>
        <v>0</v>
      </c>
      <c r="K2362" s="1217">
        <f t="shared" si="313"/>
        <v>0</v>
      </c>
      <c r="L2362" s="711"/>
      <c r="M2362" s="711"/>
    </row>
    <row r="2363" spans="1:13" ht="24.95" customHeight="1">
      <c r="A2363" s="456" t="s">
        <v>4976</v>
      </c>
      <c r="B2363" s="452" t="s">
        <v>4977</v>
      </c>
      <c r="C2363" s="1226"/>
      <c r="D2363" s="1226"/>
      <c r="E2363" s="1258" t="e">
        <f t="shared" si="310"/>
        <v>#DIV/0!</v>
      </c>
      <c r="F2363" s="1227"/>
      <c r="G2363" s="1227"/>
      <c r="H2363" s="1258" t="e">
        <f t="shared" si="311"/>
        <v>#DIV/0!</v>
      </c>
      <c r="I2363" s="1216">
        <f t="shared" si="316"/>
        <v>0</v>
      </c>
      <c r="J2363" s="860">
        <f t="shared" si="315"/>
        <v>0</v>
      </c>
      <c r="K2363" s="1217" t="e">
        <f t="shared" si="313"/>
        <v>#DIV/0!</v>
      </c>
      <c r="L2363" s="711"/>
      <c r="M2363" s="711"/>
    </row>
    <row r="2364" spans="1:13" ht="24.95" customHeight="1">
      <c r="A2364" s="456" t="s">
        <v>4978</v>
      </c>
      <c r="B2364" s="452" t="s">
        <v>4979</v>
      </c>
      <c r="C2364" s="1226">
        <v>2</v>
      </c>
      <c r="D2364" s="1226"/>
      <c r="E2364" s="1258">
        <f t="shared" si="310"/>
        <v>0</v>
      </c>
      <c r="F2364" s="1227"/>
      <c r="G2364" s="1227"/>
      <c r="H2364" s="1258" t="e">
        <f t="shared" si="311"/>
        <v>#DIV/0!</v>
      </c>
      <c r="I2364" s="1216">
        <f t="shared" si="316"/>
        <v>2</v>
      </c>
      <c r="J2364" s="860">
        <f t="shared" si="315"/>
        <v>0</v>
      </c>
      <c r="K2364" s="1217">
        <f t="shared" si="313"/>
        <v>0</v>
      </c>
      <c r="L2364" s="711"/>
      <c r="M2364" s="711"/>
    </row>
    <row r="2365" spans="1:13" ht="24.95" customHeight="1">
      <c r="A2365" s="456" t="s">
        <v>4980</v>
      </c>
      <c r="B2365" s="452" t="s">
        <v>4981</v>
      </c>
      <c r="C2365" s="1226">
        <v>3</v>
      </c>
      <c r="D2365" s="1226">
        <v>1</v>
      </c>
      <c r="E2365" s="1258">
        <f t="shared" si="310"/>
        <v>0.33333333333333331</v>
      </c>
      <c r="F2365" s="1227"/>
      <c r="G2365" s="1227"/>
      <c r="H2365" s="1258" t="e">
        <f t="shared" si="311"/>
        <v>#DIV/0!</v>
      </c>
      <c r="I2365" s="1216">
        <f t="shared" si="316"/>
        <v>3</v>
      </c>
      <c r="J2365" s="860">
        <f t="shared" si="315"/>
        <v>1</v>
      </c>
      <c r="K2365" s="1217">
        <f t="shared" si="313"/>
        <v>0.33333333333333331</v>
      </c>
      <c r="L2365" s="711"/>
      <c r="M2365" s="711"/>
    </row>
    <row r="2366" spans="1:13" ht="24.95" customHeight="1">
      <c r="A2366" s="456" t="s">
        <v>4982</v>
      </c>
      <c r="B2366" s="452" t="s">
        <v>4983</v>
      </c>
      <c r="C2366" s="1226">
        <v>10</v>
      </c>
      <c r="D2366" s="1226">
        <v>2</v>
      </c>
      <c r="E2366" s="1258">
        <f t="shared" si="310"/>
        <v>0.2</v>
      </c>
      <c r="F2366" s="1227"/>
      <c r="G2366" s="1227"/>
      <c r="H2366" s="1258" t="e">
        <f t="shared" si="311"/>
        <v>#DIV/0!</v>
      </c>
      <c r="I2366" s="1216">
        <f t="shared" si="316"/>
        <v>10</v>
      </c>
      <c r="J2366" s="860">
        <f t="shared" si="315"/>
        <v>2</v>
      </c>
      <c r="K2366" s="1217">
        <f t="shared" si="313"/>
        <v>0.2</v>
      </c>
      <c r="L2366" s="711"/>
      <c r="M2366" s="711"/>
    </row>
    <row r="2367" spans="1:13" ht="24.95" customHeight="1">
      <c r="A2367" s="456" t="s">
        <v>4984</v>
      </c>
      <c r="B2367" s="452" t="s">
        <v>4985</v>
      </c>
      <c r="C2367" s="1226">
        <v>2</v>
      </c>
      <c r="D2367" s="1226"/>
      <c r="E2367" s="1258">
        <f t="shared" si="310"/>
        <v>0</v>
      </c>
      <c r="F2367" s="1227"/>
      <c r="G2367" s="1227"/>
      <c r="H2367" s="1258" t="e">
        <f t="shared" si="311"/>
        <v>#DIV/0!</v>
      </c>
      <c r="I2367" s="1216">
        <f t="shared" si="316"/>
        <v>2</v>
      </c>
      <c r="J2367" s="860">
        <f t="shared" si="315"/>
        <v>0</v>
      </c>
      <c r="K2367" s="1217">
        <f t="shared" si="313"/>
        <v>0</v>
      </c>
      <c r="L2367" s="711"/>
      <c r="M2367" s="711"/>
    </row>
    <row r="2368" spans="1:13" ht="24.95" customHeight="1">
      <c r="A2368" s="456" t="s">
        <v>4986</v>
      </c>
      <c r="B2368" s="452" t="s">
        <v>4987</v>
      </c>
      <c r="C2368" s="1226"/>
      <c r="D2368" s="1226"/>
      <c r="E2368" s="1258" t="e">
        <f t="shared" si="310"/>
        <v>#DIV/0!</v>
      </c>
      <c r="F2368" s="1227"/>
      <c r="G2368" s="1227"/>
      <c r="H2368" s="1258" t="e">
        <f t="shared" si="311"/>
        <v>#DIV/0!</v>
      </c>
      <c r="I2368" s="1216">
        <f t="shared" si="316"/>
        <v>0</v>
      </c>
      <c r="J2368" s="860">
        <f t="shared" si="315"/>
        <v>0</v>
      </c>
      <c r="K2368" s="1217" t="e">
        <f t="shared" si="313"/>
        <v>#DIV/0!</v>
      </c>
      <c r="L2368" s="711"/>
      <c r="M2368" s="711"/>
    </row>
    <row r="2369" spans="1:13" ht="24.95" customHeight="1">
      <c r="A2369" s="456" t="s">
        <v>4988</v>
      </c>
      <c r="B2369" s="452" t="s">
        <v>4989</v>
      </c>
      <c r="C2369" s="1226">
        <v>1</v>
      </c>
      <c r="D2369" s="1226"/>
      <c r="E2369" s="1258">
        <f t="shared" si="310"/>
        <v>0</v>
      </c>
      <c r="F2369" s="1227"/>
      <c r="G2369" s="1227"/>
      <c r="H2369" s="1258" t="e">
        <f t="shared" si="311"/>
        <v>#DIV/0!</v>
      </c>
      <c r="I2369" s="1216">
        <f t="shared" si="316"/>
        <v>1</v>
      </c>
      <c r="J2369" s="860">
        <f t="shared" si="315"/>
        <v>0</v>
      </c>
      <c r="K2369" s="1217">
        <f t="shared" si="313"/>
        <v>0</v>
      </c>
      <c r="L2369" s="711"/>
      <c r="M2369" s="711"/>
    </row>
    <row r="2370" spans="1:13" ht="24.95" customHeight="1">
      <c r="A2370" s="456" t="s">
        <v>4990</v>
      </c>
      <c r="B2370" s="452" t="s">
        <v>4991</v>
      </c>
      <c r="C2370" s="1226"/>
      <c r="D2370" s="1226"/>
      <c r="E2370" s="1258" t="e">
        <f t="shared" si="310"/>
        <v>#DIV/0!</v>
      </c>
      <c r="F2370" s="1227"/>
      <c r="G2370" s="1227"/>
      <c r="H2370" s="1258" t="e">
        <f t="shared" si="311"/>
        <v>#DIV/0!</v>
      </c>
      <c r="I2370" s="1216">
        <f t="shared" si="316"/>
        <v>0</v>
      </c>
      <c r="J2370" s="860">
        <f t="shared" si="315"/>
        <v>0</v>
      </c>
      <c r="K2370" s="1217" t="e">
        <f t="shared" si="313"/>
        <v>#DIV/0!</v>
      </c>
      <c r="L2370" s="711"/>
      <c r="M2370" s="711"/>
    </row>
    <row r="2371" spans="1:13" ht="24.95" customHeight="1">
      <c r="A2371" s="456" t="s">
        <v>4992</v>
      </c>
      <c r="B2371" s="452" t="s">
        <v>4993</v>
      </c>
      <c r="C2371" s="1226"/>
      <c r="D2371" s="1226"/>
      <c r="E2371" s="1258" t="e">
        <f t="shared" si="310"/>
        <v>#DIV/0!</v>
      </c>
      <c r="F2371" s="1227">
        <v>1</v>
      </c>
      <c r="G2371" s="1227">
        <v>1</v>
      </c>
      <c r="H2371" s="1258">
        <f t="shared" si="311"/>
        <v>1</v>
      </c>
      <c r="I2371" s="1216">
        <f t="shared" si="316"/>
        <v>1</v>
      </c>
      <c r="J2371" s="860">
        <f t="shared" si="315"/>
        <v>1</v>
      </c>
      <c r="K2371" s="1217">
        <f t="shared" si="313"/>
        <v>1</v>
      </c>
      <c r="L2371" s="711"/>
      <c r="M2371" s="711"/>
    </row>
    <row r="2372" spans="1:13" ht="24.95" customHeight="1">
      <c r="A2372" s="456" t="s">
        <v>4994</v>
      </c>
      <c r="B2372" s="452" t="s">
        <v>4995</v>
      </c>
      <c r="C2372" s="1226"/>
      <c r="D2372" s="1226"/>
      <c r="E2372" s="1258" t="e">
        <f t="shared" si="310"/>
        <v>#DIV/0!</v>
      </c>
      <c r="F2372" s="1227"/>
      <c r="G2372" s="1227"/>
      <c r="H2372" s="1258" t="e">
        <f t="shared" si="311"/>
        <v>#DIV/0!</v>
      </c>
      <c r="I2372" s="1216">
        <f t="shared" si="316"/>
        <v>0</v>
      </c>
      <c r="J2372" s="860">
        <f t="shared" si="315"/>
        <v>0</v>
      </c>
      <c r="K2372" s="1217" t="e">
        <f t="shared" si="313"/>
        <v>#DIV/0!</v>
      </c>
      <c r="L2372" s="711"/>
      <c r="M2372" s="711"/>
    </row>
    <row r="2373" spans="1:13" ht="24.95" customHeight="1">
      <c r="A2373" s="456" t="s">
        <v>4996</v>
      </c>
      <c r="B2373" s="452" t="s">
        <v>4997</v>
      </c>
      <c r="C2373" s="1226"/>
      <c r="D2373" s="1226"/>
      <c r="E2373" s="1258" t="e">
        <f t="shared" ref="E2373:E2436" si="317">+D2373/C2373</f>
        <v>#DIV/0!</v>
      </c>
      <c r="F2373" s="1227"/>
      <c r="G2373" s="1227"/>
      <c r="H2373" s="1258" t="e">
        <f t="shared" ref="H2373:H2436" si="318">+G2373/F2373</f>
        <v>#DIV/0!</v>
      </c>
      <c r="I2373" s="1216">
        <f t="shared" si="316"/>
        <v>0</v>
      </c>
      <c r="J2373" s="860">
        <f t="shared" si="315"/>
        <v>0</v>
      </c>
      <c r="K2373" s="1217" t="e">
        <f t="shared" ref="K2373:K2436" si="319">+J2373/I2373</f>
        <v>#DIV/0!</v>
      </c>
      <c r="L2373" s="711"/>
      <c r="M2373" s="711"/>
    </row>
    <row r="2374" spans="1:13" ht="24.95" customHeight="1">
      <c r="A2374" s="456" t="s">
        <v>4998</v>
      </c>
      <c r="B2374" s="452" t="s">
        <v>4999</v>
      </c>
      <c r="C2374" s="1226">
        <v>5</v>
      </c>
      <c r="D2374" s="1226">
        <v>6</v>
      </c>
      <c r="E2374" s="1258">
        <f t="shared" si="317"/>
        <v>1.2</v>
      </c>
      <c r="F2374" s="1227"/>
      <c r="G2374" s="1227"/>
      <c r="H2374" s="1258" t="e">
        <f t="shared" si="318"/>
        <v>#DIV/0!</v>
      </c>
      <c r="I2374" s="1216">
        <f t="shared" si="316"/>
        <v>5</v>
      </c>
      <c r="J2374" s="860">
        <f t="shared" si="315"/>
        <v>6</v>
      </c>
      <c r="K2374" s="1217">
        <f t="shared" si="319"/>
        <v>1.2</v>
      </c>
      <c r="L2374" s="711"/>
      <c r="M2374" s="711"/>
    </row>
    <row r="2375" spans="1:13" ht="24.95" customHeight="1">
      <c r="A2375" s="456" t="s">
        <v>5000</v>
      </c>
      <c r="B2375" s="452" t="s">
        <v>5001</v>
      </c>
      <c r="C2375" s="1226"/>
      <c r="D2375" s="1226"/>
      <c r="E2375" s="1258" t="e">
        <f t="shared" si="317"/>
        <v>#DIV/0!</v>
      </c>
      <c r="F2375" s="1227"/>
      <c r="G2375" s="1227"/>
      <c r="H2375" s="1258" t="e">
        <f t="shared" si="318"/>
        <v>#DIV/0!</v>
      </c>
      <c r="I2375" s="1216">
        <f t="shared" si="316"/>
        <v>0</v>
      </c>
      <c r="J2375" s="860">
        <f t="shared" si="315"/>
        <v>0</v>
      </c>
      <c r="K2375" s="1217" t="e">
        <f t="shared" si="319"/>
        <v>#DIV/0!</v>
      </c>
      <c r="L2375" s="711"/>
      <c r="M2375" s="711"/>
    </row>
    <row r="2376" spans="1:13" ht="24.95" customHeight="1">
      <c r="A2376" s="456" t="s">
        <v>5002</v>
      </c>
      <c r="B2376" s="452" t="s">
        <v>5003</v>
      </c>
      <c r="C2376" s="1226">
        <v>2</v>
      </c>
      <c r="D2376" s="1226">
        <v>2</v>
      </c>
      <c r="E2376" s="1258">
        <f t="shared" si="317"/>
        <v>1</v>
      </c>
      <c r="F2376" s="1227"/>
      <c r="G2376" s="1227"/>
      <c r="H2376" s="1258" t="e">
        <f t="shared" si="318"/>
        <v>#DIV/0!</v>
      </c>
      <c r="I2376" s="1216">
        <f t="shared" si="316"/>
        <v>2</v>
      </c>
      <c r="J2376" s="860">
        <f t="shared" si="315"/>
        <v>2</v>
      </c>
      <c r="K2376" s="1217">
        <f t="shared" si="319"/>
        <v>1</v>
      </c>
      <c r="L2376" s="711"/>
      <c r="M2376" s="711"/>
    </row>
    <row r="2377" spans="1:13" ht="24.95" customHeight="1">
      <c r="A2377" s="456" t="s">
        <v>5004</v>
      </c>
      <c r="B2377" s="452" t="s">
        <v>5005</v>
      </c>
      <c r="C2377" s="1226"/>
      <c r="D2377" s="1226"/>
      <c r="E2377" s="1258" t="e">
        <f t="shared" si="317"/>
        <v>#DIV/0!</v>
      </c>
      <c r="F2377" s="1227"/>
      <c r="G2377" s="1227"/>
      <c r="H2377" s="1258" t="e">
        <f t="shared" si="318"/>
        <v>#DIV/0!</v>
      </c>
      <c r="I2377" s="1216">
        <f t="shared" si="316"/>
        <v>0</v>
      </c>
      <c r="J2377" s="860">
        <f t="shared" si="315"/>
        <v>0</v>
      </c>
      <c r="K2377" s="1217" t="e">
        <f t="shared" si="319"/>
        <v>#DIV/0!</v>
      </c>
      <c r="L2377" s="711"/>
      <c r="M2377" s="711"/>
    </row>
    <row r="2378" spans="1:13" ht="24.95" customHeight="1">
      <c r="A2378" s="456" t="s">
        <v>5006</v>
      </c>
      <c r="B2378" s="452" t="s">
        <v>5007</v>
      </c>
      <c r="C2378" s="1226"/>
      <c r="D2378" s="1226"/>
      <c r="E2378" s="1258" t="e">
        <f t="shared" si="317"/>
        <v>#DIV/0!</v>
      </c>
      <c r="F2378" s="1227"/>
      <c r="G2378" s="1227"/>
      <c r="H2378" s="1258" t="e">
        <f t="shared" si="318"/>
        <v>#DIV/0!</v>
      </c>
      <c r="I2378" s="1216">
        <f t="shared" si="316"/>
        <v>0</v>
      </c>
      <c r="J2378" s="860">
        <f t="shared" si="315"/>
        <v>0</v>
      </c>
      <c r="K2378" s="1217" t="e">
        <f t="shared" si="319"/>
        <v>#DIV/0!</v>
      </c>
      <c r="L2378" s="711"/>
      <c r="M2378" s="711"/>
    </row>
    <row r="2379" spans="1:13" ht="24.95" customHeight="1">
      <c r="A2379" s="456" t="s">
        <v>5008</v>
      </c>
      <c r="B2379" s="452" t="s">
        <v>5009</v>
      </c>
      <c r="C2379" s="1226">
        <v>15</v>
      </c>
      <c r="D2379" s="1226">
        <v>8</v>
      </c>
      <c r="E2379" s="1258">
        <f t="shared" si="317"/>
        <v>0.53333333333333333</v>
      </c>
      <c r="F2379" s="1227">
        <v>1</v>
      </c>
      <c r="G2379" s="1227">
        <v>1</v>
      </c>
      <c r="H2379" s="1258">
        <f t="shared" si="318"/>
        <v>1</v>
      </c>
      <c r="I2379" s="1216">
        <f t="shared" si="316"/>
        <v>16</v>
      </c>
      <c r="J2379" s="860">
        <f t="shared" si="315"/>
        <v>9</v>
      </c>
      <c r="K2379" s="1217">
        <f t="shared" si="319"/>
        <v>0.5625</v>
      </c>
      <c r="L2379" s="711"/>
      <c r="M2379" s="711"/>
    </row>
    <row r="2380" spans="1:13" ht="24.95" customHeight="1">
      <c r="A2380" s="456" t="s">
        <v>5010</v>
      </c>
      <c r="B2380" s="452" t="s">
        <v>5011</v>
      </c>
      <c r="C2380" s="1226">
        <v>1</v>
      </c>
      <c r="D2380" s="1226">
        <v>2</v>
      </c>
      <c r="E2380" s="1258">
        <f t="shared" si="317"/>
        <v>2</v>
      </c>
      <c r="F2380" s="1227"/>
      <c r="G2380" s="1227"/>
      <c r="H2380" s="1258" t="e">
        <f t="shared" si="318"/>
        <v>#DIV/0!</v>
      </c>
      <c r="I2380" s="1216">
        <f t="shared" si="316"/>
        <v>1</v>
      </c>
      <c r="J2380" s="860">
        <f t="shared" si="315"/>
        <v>2</v>
      </c>
      <c r="K2380" s="1217">
        <f t="shared" si="319"/>
        <v>2</v>
      </c>
      <c r="L2380" s="711"/>
      <c r="M2380" s="711"/>
    </row>
    <row r="2381" spans="1:13" ht="24.95" customHeight="1">
      <c r="A2381" s="456" t="s">
        <v>5012</v>
      </c>
      <c r="B2381" s="452" t="s">
        <v>5013</v>
      </c>
      <c r="C2381" s="1226"/>
      <c r="D2381" s="1226"/>
      <c r="E2381" s="1258" t="e">
        <f t="shared" si="317"/>
        <v>#DIV/0!</v>
      </c>
      <c r="F2381" s="1227"/>
      <c r="G2381" s="1227"/>
      <c r="H2381" s="1258" t="e">
        <f t="shared" si="318"/>
        <v>#DIV/0!</v>
      </c>
      <c r="I2381" s="1216">
        <f t="shared" si="316"/>
        <v>0</v>
      </c>
      <c r="J2381" s="860">
        <f t="shared" si="315"/>
        <v>0</v>
      </c>
      <c r="K2381" s="1217" t="e">
        <f t="shared" si="319"/>
        <v>#DIV/0!</v>
      </c>
      <c r="L2381" s="711"/>
      <c r="M2381" s="711"/>
    </row>
    <row r="2382" spans="1:13" ht="24.95" customHeight="1">
      <c r="A2382" s="456" t="s">
        <v>5014</v>
      </c>
      <c r="B2382" s="452" t="s">
        <v>5015</v>
      </c>
      <c r="C2382" s="1226">
        <v>3</v>
      </c>
      <c r="D2382" s="1226"/>
      <c r="E2382" s="1258">
        <f t="shared" si="317"/>
        <v>0</v>
      </c>
      <c r="F2382" s="1227"/>
      <c r="G2382" s="1227"/>
      <c r="H2382" s="1258" t="e">
        <f t="shared" si="318"/>
        <v>#DIV/0!</v>
      </c>
      <c r="I2382" s="1216">
        <f t="shared" si="316"/>
        <v>3</v>
      </c>
      <c r="J2382" s="860">
        <f t="shared" si="315"/>
        <v>0</v>
      </c>
      <c r="K2382" s="1217">
        <f t="shared" si="319"/>
        <v>0</v>
      </c>
      <c r="L2382" s="711"/>
      <c r="M2382" s="711"/>
    </row>
    <row r="2383" spans="1:13" ht="24.95" customHeight="1">
      <c r="A2383" s="456" t="s">
        <v>5016</v>
      </c>
      <c r="B2383" s="452" t="s">
        <v>5017</v>
      </c>
      <c r="C2383" s="1226">
        <v>1</v>
      </c>
      <c r="D2383" s="1226"/>
      <c r="E2383" s="1258">
        <f t="shared" si="317"/>
        <v>0</v>
      </c>
      <c r="F2383" s="1227">
        <v>1</v>
      </c>
      <c r="G2383" s="1227"/>
      <c r="H2383" s="1258">
        <f t="shared" si="318"/>
        <v>0</v>
      </c>
      <c r="I2383" s="1216">
        <f t="shared" si="316"/>
        <v>2</v>
      </c>
      <c r="J2383" s="860">
        <f t="shared" si="315"/>
        <v>0</v>
      </c>
      <c r="K2383" s="1217">
        <f t="shared" si="319"/>
        <v>0</v>
      </c>
      <c r="L2383" s="711"/>
      <c r="M2383" s="711"/>
    </row>
    <row r="2384" spans="1:13" ht="24.95" customHeight="1">
      <c r="A2384" s="456" t="s">
        <v>5018</v>
      </c>
      <c r="B2384" s="452" t="s">
        <v>5019</v>
      </c>
      <c r="C2384" s="1226"/>
      <c r="D2384" s="1226"/>
      <c r="E2384" s="1258" t="e">
        <f t="shared" si="317"/>
        <v>#DIV/0!</v>
      </c>
      <c r="F2384" s="1227"/>
      <c r="G2384" s="1227"/>
      <c r="H2384" s="1258" t="e">
        <f t="shared" si="318"/>
        <v>#DIV/0!</v>
      </c>
      <c r="I2384" s="1216">
        <f t="shared" si="316"/>
        <v>0</v>
      </c>
      <c r="J2384" s="860">
        <f t="shared" si="315"/>
        <v>0</v>
      </c>
      <c r="K2384" s="1217" t="e">
        <f t="shared" si="319"/>
        <v>#DIV/0!</v>
      </c>
      <c r="L2384" s="711"/>
      <c r="M2384" s="711"/>
    </row>
    <row r="2385" spans="1:13" ht="24.95" customHeight="1">
      <c r="A2385" s="456" t="s">
        <v>5020</v>
      </c>
      <c r="B2385" s="452" t="s">
        <v>5021</v>
      </c>
      <c r="C2385" s="1226">
        <v>2</v>
      </c>
      <c r="D2385" s="1226"/>
      <c r="E2385" s="1258">
        <f t="shared" si="317"/>
        <v>0</v>
      </c>
      <c r="F2385" s="1227"/>
      <c r="G2385" s="1227"/>
      <c r="H2385" s="1258" t="e">
        <f t="shared" si="318"/>
        <v>#DIV/0!</v>
      </c>
      <c r="I2385" s="1216">
        <f t="shared" si="316"/>
        <v>2</v>
      </c>
      <c r="J2385" s="860">
        <f t="shared" si="315"/>
        <v>0</v>
      </c>
      <c r="K2385" s="1217">
        <f t="shared" si="319"/>
        <v>0</v>
      </c>
      <c r="L2385" s="711"/>
      <c r="M2385" s="711"/>
    </row>
    <row r="2386" spans="1:13" ht="24.95" customHeight="1">
      <c r="A2386" s="456" t="s">
        <v>5022</v>
      </c>
      <c r="B2386" s="452" t="s">
        <v>5023</v>
      </c>
      <c r="C2386" s="1226"/>
      <c r="D2386" s="1226">
        <v>1</v>
      </c>
      <c r="E2386" s="1258" t="e">
        <f t="shared" si="317"/>
        <v>#DIV/0!</v>
      </c>
      <c r="F2386" s="1227"/>
      <c r="G2386" s="1227"/>
      <c r="H2386" s="1258" t="e">
        <f t="shared" si="318"/>
        <v>#DIV/0!</v>
      </c>
      <c r="I2386" s="1216">
        <f t="shared" si="316"/>
        <v>0</v>
      </c>
      <c r="J2386" s="860">
        <f t="shared" si="315"/>
        <v>1</v>
      </c>
      <c r="K2386" s="1217" t="e">
        <f t="shared" si="319"/>
        <v>#DIV/0!</v>
      </c>
      <c r="L2386" s="711"/>
      <c r="M2386" s="711"/>
    </row>
    <row r="2387" spans="1:13" ht="24.95" customHeight="1">
      <c r="A2387" s="456" t="s">
        <v>5024</v>
      </c>
      <c r="B2387" s="452" t="s">
        <v>5023</v>
      </c>
      <c r="C2387" s="1226"/>
      <c r="D2387" s="1226"/>
      <c r="E2387" s="1258" t="e">
        <f t="shared" si="317"/>
        <v>#DIV/0!</v>
      </c>
      <c r="F2387" s="1227"/>
      <c r="G2387" s="1227"/>
      <c r="H2387" s="1258" t="e">
        <f t="shared" si="318"/>
        <v>#DIV/0!</v>
      </c>
      <c r="I2387" s="1216">
        <f t="shared" si="316"/>
        <v>0</v>
      </c>
      <c r="J2387" s="860">
        <f t="shared" si="315"/>
        <v>0</v>
      </c>
      <c r="K2387" s="1217" t="e">
        <f t="shared" si="319"/>
        <v>#DIV/0!</v>
      </c>
      <c r="L2387" s="711"/>
      <c r="M2387" s="711"/>
    </row>
    <row r="2388" spans="1:13" ht="24.95" customHeight="1">
      <c r="A2388" s="456" t="s">
        <v>5025</v>
      </c>
      <c r="B2388" s="452" t="s">
        <v>5026</v>
      </c>
      <c r="C2388" s="1226">
        <v>2</v>
      </c>
      <c r="D2388" s="1226">
        <v>1</v>
      </c>
      <c r="E2388" s="1258">
        <f t="shared" si="317"/>
        <v>0.5</v>
      </c>
      <c r="F2388" s="1227"/>
      <c r="G2388" s="1227"/>
      <c r="H2388" s="1258" t="e">
        <f t="shared" si="318"/>
        <v>#DIV/0!</v>
      </c>
      <c r="I2388" s="1216">
        <f t="shared" si="316"/>
        <v>2</v>
      </c>
      <c r="J2388" s="860">
        <f t="shared" si="315"/>
        <v>1</v>
      </c>
      <c r="K2388" s="1217">
        <f t="shared" si="319"/>
        <v>0.5</v>
      </c>
      <c r="L2388" s="711"/>
      <c r="M2388" s="711"/>
    </row>
    <row r="2389" spans="1:13" ht="24.95" customHeight="1">
      <c r="A2389" s="456" t="s">
        <v>5027</v>
      </c>
      <c r="B2389" s="452" t="s">
        <v>5028</v>
      </c>
      <c r="C2389" s="1226"/>
      <c r="D2389" s="1226"/>
      <c r="E2389" s="1258" t="e">
        <f t="shared" si="317"/>
        <v>#DIV/0!</v>
      </c>
      <c r="F2389" s="1227"/>
      <c r="G2389" s="1227"/>
      <c r="H2389" s="1258" t="e">
        <f t="shared" si="318"/>
        <v>#DIV/0!</v>
      </c>
      <c r="I2389" s="1216">
        <f t="shared" si="316"/>
        <v>0</v>
      </c>
      <c r="J2389" s="860">
        <f t="shared" si="315"/>
        <v>0</v>
      </c>
      <c r="K2389" s="1217" t="e">
        <f t="shared" si="319"/>
        <v>#DIV/0!</v>
      </c>
      <c r="L2389" s="711"/>
      <c r="M2389" s="711"/>
    </row>
    <row r="2390" spans="1:13" ht="24.95" customHeight="1">
      <c r="A2390" s="456" t="s">
        <v>5029</v>
      </c>
      <c r="B2390" s="452" t="s">
        <v>5030</v>
      </c>
      <c r="C2390" s="1226"/>
      <c r="D2390" s="1226"/>
      <c r="E2390" s="1258" t="e">
        <f t="shared" si="317"/>
        <v>#DIV/0!</v>
      </c>
      <c r="F2390" s="1227"/>
      <c r="G2390" s="1227"/>
      <c r="H2390" s="1258" t="e">
        <f t="shared" si="318"/>
        <v>#DIV/0!</v>
      </c>
      <c r="I2390" s="1216">
        <f t="shared" si="316"/>
        <v>0</v>
      </c>
      <c r="J2390" s="860">
        <f t="shared" si="315"/>
        <v>0</v>
      </c>
      <c r="K2390" s="1217" t="e">
        <f t="shared" si="319"/>
        <v>#DIV/0!</v>
      </c>
      <c r="L2390" s="711"/>
      <c r="M2390" s="711"/>
    </row>
    <row r="2391" spans="1:13" ht="24.95" customHeight="1">
      <c r="A2391" s="456" t="s">
        <v>5031</v>
      </c>
      <c r="B2391" s="452" t="s">
        <v>5032</v>
      </c>
      <c r="C2391" s="1226"/>
      <c r="D2391" s="1226"/>
      <c r="E2391" s="1258" t="e">
        <f t="shared" si="317"/>
        <v>#DIV/0!</v>
      </c>
      <c r="F2391" s="1227"/>
      <c r="G2391" s="1227"/>
      <c r="H2391" s="1258" t="e">
        <f t="shared" si="318"/>
        <v>#DIV/0!</v>
      </c>
      <c r="I2391" s="1216">
        <f t="shared" si="316"/>
        <v>0</v>
      </c>
      <c r="J2391" s="860">
        <f t="shared" si="315"/>
        <v>0</v>
      </c>
      <c r="K2391" s="1217" t="e">
        <f t="shared" si="319"/>
        <v>#DIV/0!</v>
      </c>
      <c r="L2391" s="711"/>
      <c r="M2391" s="711"/>
    </row>
    <row r="2392" spans="1:13" ht="24.95" customHeight="1">
      <c r="A2392" s="456" t="s">
        <v>5033</v>
      </c>
      <c r="B2392" s="452" t="s">
        <v>5034</v>
      </c>
      <c r="C2392" s="1226"/>
      <c r="D2392" s="1226"/>
      <c r="E2392" s="1258" t="e">
        <f t="shared" si="317"/>
        <v>#DIV/0!</v>
      </c>
      <c r="F2392" s="1227">
        <v>5</v>
      </c>
      <c r="G2392" s="1227">
        <v>2</v>
      </c>
      <c r="H2392" s="1258">
        <f t="shared" si="318"/>
        <v>0.4</v>
      </c>
      <c r="I2392" s="1216">
        <f t="shared" si="316"/>
        <v>5</v>
      </c>
      <c r="J2392" s="860">
        <f t="shared" si="315"/>
        <v>2</v>
      </c>
      <c r="K2392" s="1217">
        <f t="shared" si="319"/>
        <v>0.4</v>
      </c>
      <c r="L2392" s="711"/>
      <c r="M2392" s="711"/>
    </row>
    <row r="2393" spans="1:13" ht="24.95" customHeight="1">
      <c r="A2393" s="456" t="s">
        <v>5035</v>
      </c>
      <c r="B2393" s="452" t="s">
        <v>5036</v>
      </c>
      <c r="C2393" s="1226"/>
      <c r="D2393" s="1226"/>
      <c r="E2393" s="1258" t="e">
        <f t="shared" si="317"/>
        <v>#DIV/0!</v>
      </c>
      <c r="F2393" s="1227">
        <v>2</v>
      </c>
      <c r="G2393" s="1227"/>
      <c r="H2393" s="1258">
        <f t="shared" si="318"/>
        <v>0</v>
      </c>
      <c r="I2393" s="1216">
        <f t="shared" si="316"/>
        <v>2</v>
      </c>
      <c r="J2393" s="860">
        <f t="shared" si="315"/>
        <v>0</v>
      </c>
      <c r="K2393" s="1217">
        <f t="shared" si="319"/>
        <v>0</v>
      </c>
      <c r="L2393" s="711"/>
      <c r="M2393" s="711"/>
    </row>
    <row r="2394" spans="1:13" ht="24.95" customHeight="1">
      <c r="A2394" s="456" t="s">
        <v>5037</v>
      </c>
      <c r="B2394" s="452" t="s">
        <v>4563</v>
      </c>
      <c r="C2394" s="1226"/>
      <c r="D2394" s="1226"/>
      <c r="E2394" s="1258" t="e">
        <f t="shared" si="317"/>
        <v>#DIV/0!</v>
      </c>
      <c r="F2394" s="1227">
        <v>5</v>
      </c>
      <c r="G2394" s="1227">
        <v>5</v>
      </c>
      <c r="H2394" s="1258">
        <f t="shared" si="318"/>
        <v>1</v>
      </c>
      <c r="I2394" s="1216">
        <f t="shared" si="316"/>
        <v>5</v>
      </c>
      <c r="J2394" s="860">
        <f t="shared" si="315"/>
        <v>5</v>
      </c>
      <c r="K2394" s="1217">
        <f t="shared" si="319"/>
        <v>1</v>
      </c>
      <c r="L2394" s="711"/>
      <c r="M2394" s="711"/>
    </row>
    <row r="2395" spans="1:13" ht="24.95" customHeight="1">
      <c r="A2395" s="456" t="s">
        <v>5038</v>
      </c>
      <c r="B2395" s="452" t="s">
        <v>5039</v>
      </c>
      <c r="C2395" s="1226">
        <v>1</v>
      </c>
      <c r="D2395" s="1226">
        <v>1</v>
      </c>
      <c r="E2395" s="1258">
        <f t="shared" si="317"/>
        <v>1</v>
      </c>
      <c r="F2395" s="1227"/>
      <c r="G2395" s="1227"/>
      <c r="H2395" s="1258" t="e">
        <f t="shared" si="318"/>
        <v>#DIV/0!</v>
      </c>
      <c r="I2395" s="1216">
        <f t="shared" si="316"/>
        <v>1</v>
      </c>
      <c r="J2395" s="860">
        <f t="shared" si="315"/>
        <v>1</v>
      </c>
      <c r="K2395" s="1217">
        <f t="shared" si="319"/>
        <v>1</v>
      </c>
      <c r="L2395" s="711"/>
      <c r="M2395" s="711"/>
    </row>
    <row r="2396" spans="1:13" ht="24.95" customHeight="1">
      <c r="A2396" s="456" t="s">
        <v>5040</v>
      </c>
      <c r="B2396" s="452" t="s">
        <v>5041</v>
      </c>
      <c r="C2396" s="1226"/>
      <c r="D2396" s="1226"/>
      <c r="E2396" s="1258" t="e">
        <f t="shared" si="317"/>
        <v>#DIV/0!</v>
      </c>
      <c r="F2396" s="1227"/>
      <c r="G2396" s="1227"/>
      <c r="H2396" s="1258" t="e">
        <f t="shared" si="318"/>
        <v>#DIV/0!</v>
      </c>
      <c r="I2396" s="1216">
        <f t="shared" si="316"/>
        <v>0</v>
      </c>
      <c r="J2396" s="860">
        <f t="shared" si="315"/>
        <v>0</v>
      </c>
      <c r="K2396" s="1217" t="e">
        <f t="shared" si="319"/>
        <v>#DIV/0!</v>
      </c>
      <c r="L2396" s="711"/>
      <c r="M2396" s="711"/>
    </row>
    <row r="2397" spans="1:13" ht="24.95" customHeight="1">
      <c r="A2397" s="456" t="s">
        <v>5042</v>
      </c>
      <c r="B2397" s="452" t="s">
        <v>5043</v>
      </c>
      <c r="C2397" s="1226"/>
      <c r="D2397" s="1226"/>
      <c r="E2397" s="1258" t="e">
        <f t="shared" si="317"/>
        <v>#DIV/0!</v>
      </c>
      <c r="F2397" s="1227"/>
      <c r="G2397" s="1227"/>
      <c r="H2397" s="1258" t="e">
        <f t="shared" si="318"/>
        <v>#DIV/0!</v>
      </c>
      <c r="I2397" s="1216">
        <f t="shared" si="316"/>
        <v>0</v>
      </c>
      <c r="J2397" s="860">
        <f t="shared" si="315"/>
        <v>0</v>
      </c>
      <c r="K2397" s="1217" t="e">
        <f t="shared" si="319"/>
        <v>#DIV/0!</v>
      </c>
      <c r="L2397" s="711"/>
      <c r="M2397" s="711"/>
    </row>
    <row r="2398" spans="1:13" ht="24.95" customHeight="1">
      <c r="A2398" s="456" t="s">
        <v>5044</v>
      </c>
      <c r="B2398" s="452" t="s">
        <v>5045</v>
      </c>
      <c r="C2398" s="1226">
        <v>1</v>
      </c>
      <c r="D2398" s="1226"/>
      <c r="E2398" s="1258">
        <f t="shared" si="317"/>
        <v>0</v>
      </c>
      <c r="F2398" s="1227"/>
      <c r="G2398" s="1227"/>
      <c r="H2398" s="1258" t="e">
        <f t="shared" si="318"/>
        <v>#DIV/0!</v>
      </c>
      <c r="I2398" s="1216">
        <f t="shared" si="316"/>
        <v>1</v>
      </c>
      <c r="J2398" s="860">
        <f t="shared" si="315"/>
        <v>0</v>
      </c>
      <c r="K2398" s="1217">
        <f t="shared" si="319"/>
        <v>0</v>
      </c>
      <c r="L2398" s="711"/>
      <c r="M2398" s="711"/>
    </row>
    <row r="2399" spans="1:13" ht="24.95" customHeight="1">
      <c r="A2399" s="1235" t="s">
        <v>5046</v>
      </c>
      <c r="B2399" s="1236" t="s">
        <v>5047</v>
      </c>
      <c r="C2399" s="1226">
        <v>2</v>
      </c>
      <c r="D2399" s="1226"/>
      <c r="E2399" s="1258">
        <f t="shared" si="317"/>
        <v>0</v>
      </c>
      <c r="F2399" s="1227"/>
      <c r="G2399" s="1227"/>
      <c r="H2399" s="1258" t="e">
        <f t="shared" si="318"/>
        <v>#DIV/0!</v>
      </c>
      <c r="I2399" s="1216">
        <f t="shared" si="316"/>
        <v>2</v>
      </c>
      <c r="J2399" s="860">
        <f t="shared" si="315"/>
        <v>0</v>
      </c>
      <c r="K2399" s="1217">
        <f t="shared" si="319"/>
        <v>0</v>
      </c>
      <c r="L2399" s="711"/>
      <c r="M2399" s="711"/>
    </row>
    <row r="2400" spans="1:13" ht="24.95" customHeight="1">
      <c r="A2400" s="456" t="s">
        <v>5048</v>
      </c>
      <c r="B2400" s="452" t="s">
        <v>5049</v>
      </c>
      <c r="C2400" s="1226">
        <v>20</v>
      </c>
      <c r="D2400" s="1226">
        <v>10</v>
      </c>
      <c r="E2400" s="1258">
        <f t="shared" si="317"/>
        <v>0.5</v>
      </c>
      <c r="F2400" s="1227">
        <v>40</v>
      </c>
      <c r="G2400" s="1227">
        <v>26</v>
      </c>
      <c r="H2400" s="1258">
        <f t="shared" si="318"/>
        <v>0.65</v>
      </c>
      <c r="I2400" s="1216">
        <f t="shared" si="316"/>
        <v>60</v>
      </c>
      <c r="J2400" s="860">
        <f t="shared" si="315"/>
        <v>36</v>
      </c>
      <c r="K2400" s="1217">
        <f t="shared" si="319"/>
        <v>0.6</v>
      </c>
      <c r="L2400" s="711"/>
      <c r="M2400" s="711"/>
    </row>
    <row r="2401" spans="1:13" ht="24.95" customHeight="1">
      <c r="A2401" s="1235" t="s">
        <v>5050</v>
      </c>
      <c r="B2401" s="1236" t="s">
        <v>5051</v>
      </c>
      <c r="C2401" s="1226">
        <v>5</v>
      </c>
      <c r="D2401" s="1226">
        <v>1</v>
      </c>
      <c r="E2401" s="1258">
        <f t="shared" si="317"/>
        <v>0.2</v>
      </c>
      <c r="F2401" s="1227">
        <v>1</v>
      </c>
      <c r="G2401" s="1227"/>
      <c r="H2401" s="1258">
        <f t="shared" si="318"/>
        <v>0</v>
      </c>
      <c r="I2401" s="1216">
        <f t="shared" si="316"/>
        <v>6</v>
      </c>
      <c r="J2401" s="860">
        <f t="shared" si="315"/>
        <v>1</v>
      </c>
      <c r="K2401" s="1217">
        <f t="shared" si="319"/>
        <v>0.16666666666666666</v>
      </c>
      <c r="L2401" s="711"/>
      <c r="M2401" s="711"/>
    </row>
    <row r="2402" spans="1:13" ht="24.95" customHeight="1">
      <c r="A2402" s="1235" t="s">
        <v>5052</v>
      </c>
      <c r="B2402" s="1236" t="s">
        <v>4585</v>
      </c>
      <c r="C2402" s="1226"/>
      <c r="D2402" s="1226"/>
      <c r="E2402" s="1258" t="e">
        <f t="shared" si="317"/>
        <v>#DIV/0!</v>
      </c>
      <c r="F2402" s="1227"/>
      <c r="G2402" s="1227"/>
      <c r="H2402" s="1258" t="e">
        <f t="shared" si="318"/>
        <v>#DIV/0!</v>
      </c>
      <c r="I2402" s="1216">
        <f t="shared" si="316"/>
        <v>0</v>
      </c>
      <c r="J2402" s="860">
        <f t="shared" si="315"/>
        <v>0</v>
      </c>
      <c r="K2402" s="1217" t="e">
        <f t="shared" si="319"/>
        <v>#DIV/0!</v>
      </c>
      <c r="L2402" s="711"/>
      <c r="M2402" s="711"/>
    </row>
    <row r="2403" spans="1:13" ht="24.95" customHeight="1">
      <c r="A2403" s="456" t="s">
        <v>4586</v>
      </c>
      <c r="B2403" s="452" t="s">
        <v>4587</v>
      </c>
      <c r="C2403" s="1226"/>
      <c r="D2403" s="1226"/>
      <c r="E2403" s="1258" t="e">
        <f t="shared" si="317"/>
        <v>#DIV/0!</v>
      </c>
      <c r="F2403" s="1227">
        <v>15</v>
      </c>
      <c r="G2403" s="1227">
        <v>7</v>
      </c>
      <c r="H2403" s="1258">
        <f t="shared" si="318"/>
        <v>0.46666666666666667</v>
      </c>
      <c r="I2403" s="1216">
        <f t="shared" si="316"/>
        <v>15</v>
      </c>
      <c r="J2403" s="860">
        <f t="shared" si="316"/>
        <v>7</v>
      </c>
      <c r="K2403" s="1217">
        <f t="shared" si="319"/>
        <v>0.46666666666666667</v>
      </c>
      <c r="L2403" s="711"/>
      <c r="M2403" s="711"/>
    </row>
    <row r="2404" spans="1:13" ht="24.95" customHeight="1">
      <c r="A2404" s="456" t="s">
        <v>5053</v>
      </c>
      <c r="B2404" s="452" t="s">
        <v>5054</v>
      </c>
      <c r="C2404" s="1226"/>
      <c r="D2404" s="1226"/>
      <c r="E2404" s="1258" t="e">
        <f t="shared" si="317"/>
        <v>#DIV/0!</v>
      </c>
      <c r="F2404" s="1227"/>
      <c r="G2404" s="1227"/>
      <c r="H2404" s="1258" t="e">
        <f t="shared" si="318"/>
        <v>#DIV/0!</v>
      </c>
      <c r="I2404" s="1216">
        <f t="shared" ref="I2404:J2419" si="320">+C2404+F2404</f>
        <v>0</v>
      </c>
      <c r="J2404" s="860">
        <f t="shared" si="320"/>
        <v>0</v>
      </c>
      <c r="K2404" s="1217" t="e">
        <f t="shared" si="319"/>
        <v>#DIV/0!</v>
      </c>
      <c r="L2404" s="711"/>
      <c r="M2404" s="711"/>
    </row>
    <row r="2405" spans="1:13" ht="24.95" customHeight="1">
      <c r="A2405" s="456" t="s">
        <v>5055</v>
      </c>
      <c r="B2405" s="452" t="s">
        <v>5056</v>
      </c>
      <c r="C2405" s="1226"/>
      <c r="D2405" s="1226"/>
      <c r="E2405" s="1258" t="e">
        <f t="shared" si="317"/>
        <v>#DIV/0!</v>
      </c>
      <c r="F2405" s="1227"/>
      <c r="G2405" s="1227"/>
      <c r="H2405" s="1258" t="e">
        <f t="shared" si="318"/>
        <v>#DIV/0!</v>
      </c>
      <c r="I2405" s="1216">
        <f t="shared" si="320"/>
        <v>0</v>
      </c>
      <c r="J2405" s="860">
        <f t="shared" si="320"/>
        <v>0</v>
      </c>
      <c r="K2405" s="1217" t="e">
        <f t="shared" si="319"/>
        <v>#DIV/0!</v>
      </c>
      <c r="L2405" s="711"/>
      <c r="M2405" s="711"/>
    </row>
    <row r="2406" spans="1:13" ht="24.95" customHeight="1">
      <c r="A2406" s="456" t="s">
        <v>5057</v>
      </c>
      <c r="B2406" s="452" t="s">
        <v>5058</v>
      </c>
      <c r="C2406" s="1226">
        <v>1</v>
      </c>
      <c r="D2406" s="1226"/>
      <c r="E2406" s="1258">
        <f t="shared" si="317"/>
        <v>0</v>
      </c>
      <c r="F2406" s="1227"/>
      <c r="G2406" s="1227"/>
      <c r="H2406" s="1258" t="e">
        <f t="shared" si="318"/>
        <v>#DIV/0!</v>
      </c>
      <c r="I2406" s="1216">
        <f t="shared" si="320"/>
        <v>1</v>
      </c>
      <c r="J2406" s="860">
        <f t="shared" si="320"/>
        <v>0</v>
      </c>
      <c r="K2406" s="1217">
        <f t="shared" si="319"/>
        <v>0</v>
      </c>
      <c r="L2406" s="711"/>
      <c r="M2406" s="711"/>
    </row>
    <row r="2407" spans="1:13" ht="24.95" customHeight="1">
      <c r="A2407" s="456" t="s">
        <v>5059</v>
      </c>
      <c r="B2407" s="452" t="s">
        <v>5060</v>
      </c>
      <c r="C2407" s="1226">
        <v>1</v>
      </c>
      <c r="D2407" s="1226">
        <v>1</v>
      </c>
      <c r="E2407" s="1258">
        <f t="shared" si="317"/>
        <v>1</v>
      </c>
      <c r="F2407" s="1227">
        <v>3</v>
      </c>
      <c r="G2407" s="1227"/>
      <c r="H2407" s="1258">
        <f t="shared" si="318"/>
        <v>0</v>
      </c>
      <c r="I2407" s="1216">
        <f t="shared" si="320"/>
        <v>4</v>
      </c>
      <c r="J2407" s="860">
        <f t="shared" si="320"/>
        <v>1</v>
      </c>
      <c r="K2407" s="1217">
        <f t="shared" si="319"/>
        <v>0.25</v>
      </c>
      <c r="L2407" s="711"/>
      <c r="M2407" s="711"/>
    </row>
    <row r="2408" spans="1:13" ht="24.95" customHeight="1">
      <c r="A2408" s="456" t="s">
        <v>5061</v>
      </c>
      <c r="B2408" s="452" t="s">
        <v>5062</v>
      </c>
      <c r="C2408" s="1226">
        <v>5</v>
      </c>
      <c r="D2408" s="1226"/>
      <c r="E2408" s="1258">
        <f t="shared" si="317"/>
        <v>0</v>
      </c>
      <c r="F2408" s="1227">
        <v>5</v>
      </c>
      <c r="G2408" s="1227"/>
      <c r="H2408" s="1258">
        <f t="shared" si="318"/>
        <v>0</v>
      </c>
      <c r="I2408" s="1216">
        <f t="shared" si="320"/>
        <v>10</v>
      </c>
      <c r="J2408" s="860">
        <f t="shared" si="320"/>
        <v>0</v>
      </c>
      <c r="K2408" s="1217">
        <f t="shared" si="319"/>
        <v>0</v>
      </c>
      <c r="L2408" s="711"/>
      <c r="M2408" s="711"/>
    </row>
    <row r="2409" spans="1:13" ht="24.95" customHeight="1">
      <c r="A2409" s="456" t="s">
        <v>5063</v>
      </c>
      <c r="B2409" s="452" t="s">
        <v>5064</v>
      </c>
      <c r="C2409" s="1226">
        <v>10</v>
      </c>
      <c r="D2409" s="1226">
        <v>2</v>
      </c>
      <c r="E2409" s="1258">
        <f t="shared" si="317"/>
        <v>0.2</v>
      </c>
      <c r="F2409" s="1227"/>
      <c r="G2409" s="1227"/>
      <c r="H2409" s="1258" t="e">
        <f t="shared" si="318"/>
        <v>#DIV/0!</v>
      </c>
      <c r="I2409" s="1216">
        <f t="shared" si="320"/>
        <v>10</v>
      </c>
      <c r="J2409" s="860">
        <f t="shared" si="320"/>
        <v>2</v>
      </c>
      <c r="K2409" s="1217">
        <f t="shared" si="319"/>
        <v>0.2</v>
      </c>
      <c r="L2409" s="711"/>
      <c r="M2409" s="711"/>
    </row>
    <row r="2410" spans="1:13" ht="24.95" customHeight="1">
      <c r="A2410" s="456" t="s">
        <v>5065</v>
      </c>
      <c r="B2410" s="1236" t="s">
        <v>5066</v>
      </c>
      <c r="C2410" s="1226">
        <v>30</v>
      </c>
      <c r="D2410" s="1226">
        <v>17</v>
      </c>
      <c r="E2410" s="1258">
        <f t="shared" si="317"/>
        <v>0.56666666666666665</v>
      </c>
      <c r="F2410" s="1227">
        <v>1</v>
      </c>
      <c r="G2410" s="1227"/>
      <c r="H2410" s="1258">
        <f t="shared" si="318"/>
        <v>0</v>
      </c>
      <c r="I2410" s="1216">
        <f t="shared" si="320"/>
        <v>31</v>
      </c>
      <c r="J2410" s="860">
        <f t="shared" si="320"/>
        <v>17</v>
      </c>
      <c r="K2410" s="1217">
        <f t="shared" si="319"/>
        <v>0.54838709677419351</v>
      </c>
      <c r="L2410" s="711"/>
      <c r="M2410" s="711"/>
    </row>
    <row r="2411" spans="1:13" ht="24.95" customHeight="1">
      <c r="A2411" s="456" t="s">
        <v>5067</v>
      </c>
      <c r="B2411" s="452" t="s">
        <v>5068</v>
      </c>
      <c r="C2411" s="1226">
        <v>5</v>
      </c>
      <c r="D2411" s="1226"/>
      <c r="E2411" s="1258">
        <f t="shared" si="317"/>
        <v>0</v>
      </c>
      <c r="F2411" s="1227"/>
      <c r="G2411" s="1227"/>
      <c r="H2411" s="1258" t="e">
        <f t="shared" si="318"/>
        <v>#DIV/0!</v>
      </c>
      <c r="I2411" s="1216">
        <f t="shared" si="320"/>
        <v>5</v>
      </c>
      <c r="J2411" s="860">
        <f t="shared" si="320"/>
        <v>0</v>
      </c>
      <c r="K2411" s="1217">
        <f t="shared" si="319"/>
        <v>0</v>
      </c>
      <c r="L2411" s="711"/>
      <c r="M2411" s="711"/>
    </row>
    <row r="2412" spans="1:13" ht="24.95" customHeight="1">
      <c r="A2412" s="456" t="s">
        <v>5069</v>
      </c>
      <c r="B2412" s="452" t="s">
        <v>5070</v>
      </c>
      <c r="C2412" s="1226">
        <v>3</v>
      </c>
      <c r="D2412" s="1226"/>
      <c r="E2412" s="1258">
        <f t="shared" si="317"/>
        <v>0</v>
      </c>
      <c r="F2412" s="1227"/>
      <c r="G2412" s="1227"/>
      <c r="H2412" s="1258" t="e">
        <f t="shared" si="318"/>
        <v>#DIV/0!</v>
      </c>
      <c r="I2412" s="1216">
        <f t="shared" si="320"/>
        <v>3</v>
      </c>
      <c r="J2412" s="860">
        <f t="shared" si="320"/>
        <v>0</v>
      </c>
      <c r="K2412" s="1217">
        <f t="shared" si="319"/>
        <v>0</v>
      </c>
      <c r="L2412" s="711"/>
      <c r="M2412" s="711"/>
    </row>
    <row r="2413" spans="1:13" ht="24.95" customHeight="1">
      <c r="A2413" s="456" t="s">
        <v>5071</v>
      </c>
      <c r="B2413" s="452" t="s">
        <v>5072</v>
      </c>
      <c r="C2413" s="1226">
        <v>2</v>
      </c>
      <c r="D2413" s="1226"/>
      <c r="E2413" s="1258">
        <f t="shared" si="317"/>
        <v>0</v>
      </c>
      <c r="F2413" s="1227"/>
      <c r="G2413" s="1227"/>
      <c r="H2413" s="1258" t="e">
        <f t="shared" si="318"/>
        <v>#DIV/0!</v>
      </c>
      <c r="I2413" s="1216">
        <f t="shared" si="320"/>
        <v>2</v>
      </c>
      <c r="J2413" s="860">
        <f t="shared" si="320"/>
        <v>0</v>
      </c>
      <c r="K2413" s="1217">
        <f t="shared" si="319"/>
        <v>0</v>
      </c>
      <c r="L2413" s="711"/>
      <c r="M2413" s="711"/>
    </row>
    <row r="2414" spans="1:13" ht="24.95" customHeight="1">
      <c r="A2414" s="456" t="s">
        <v>5073</v>
      </c>
      <c r="B2414" s="452" t="s">
        <v>5074</v>
      </c>
      <c r="C2414" s="1226">
        <v>3</v>
      </c>
      <c r="D2414" s="1226"/>
      <c r="E2414" s="1258">
        <f t="shared" si="317"/>
        <v>0</v>
      </c>
      <c r="F2414" s="1227"/>
      <c r="G2414" s="1227"/>
      <c r="H2414" s="1258" t="e">
        <f t="shared" si="318"/>
        <v>#DIV/0!</v>
      </c>
      <c r="I2414" s="1216">
        <f t="shared" si="320"/>
        <v>3</v>
      </c>
      <c r="J2414" s="860">
        <f t="shared" si="320"/>
        <v>0</v>
      </c>
      <c r="K2414" s="1217">
        <f t="shared" si="319"/>
        <v>0</v>
      </c>
      <c r="L2414" s="711"/>
      <c r="M2414" s="711"/>
    </row>
    <row r="2415" spans="1:13" ht="24.95" customHeight="1">
      <c r="A2415" s="456" t="s">
        <v>5075</v>
      </c>
      <c r="B2415" s="452" t="s">
        <v>5076</v>
      </c>
      <c r="C2415" s="1226"/>
      <c r="D2415" s="1226"/>
      <c r="E2415" s="1258" t="e">
        <f t="shared" si="317"/>
        <v>#DIV/0!</v>
      </c>
      <c r="F2415" s="1227"/>
      <c r="G2415" s="1227"/>
      <c r="H2415" s="1258" t="e">
        <f t="shared" si="318"/>
        <v>#DIV/0!</v>
      </c>
      <c r="I2415" s="1216">
        <f t="shared" si="320"/>
        <v>0</v>
      </c>
      <c r="J2415" s="860">
        <f t="shared" si="320"/>
        <v>0</v>
      </c>
      <c r="K2415" s="1217" t="e">
        <f t="shared" si="319"/>
        <v>#DIV/0!</v>
      </c>
      <c r="L2415" s="711"/>
      <c r="M2415" s="711"/>
    </row>
    <row r="2416" spans="1:13" ht="24.95" customHeight="1">
      <c r="A2416" s="456" t="s">
        <v>5077</v>
      </c>
      <c r="B2416" s="452" t="s">
        <v>5078</v>
      </c>
      <c r="C2416" s="1226"/>
      <c r="D2416" s="1226"/>
      <c r="E2416" s="1258" t="e">
        <f t="shared" si="317"/>
        <v>#DIV/0!</v>
      </c>
      <c r="F2416" s="1227"/>
      <c r="G2416" s="1227"/>
      <c r="H2416" s="1258" t="e">
        <f t="shared" si="318"/>
        <v>#DIV/0!</v>
      </c>
      <c r="I2416" s="1216">
        <f t="shared" si="320"/>
        <v>0</v>
      </c>
      <c r="J2416" s="860">
        <f t="shared" si="320"/>
        <v>0</v>
      </c>
      <c r="K2416" s="1217" t="e">
        <f t="shared" si="319"/>
        <v>#DIV/0!</v>
      </c>
      <c r="L2416" s="711"/>
      <c r="M2416" s="711"/>
    </row>
    <row r="2417" spans="1:13" ht="24.95" customHeight="1">
      <c r="A2417" s="456" t="s">
        <v>5079</v>
      </c>
      <c r="B2417" s="452" t="s">
        <v>5080</v>
      </c>
      <c r="C2417" s="1226"/>
      <c r="D2417" s="1226"/>
      <c r="E2417" s="1258" t="e">
        <f t="shared" si="317"/>
        <v>#DIV/0!</v>
      </c>
      <c r="F2417" s="1227">
        <v>1</v>
      </c>
      <c r="G2417" s="1227"/>
      <c r="H2417" s="1258">
        <f t="shared" si="318"/>
        <v>0</v>
      </c>
      <c r="I2417" s="1216">
        <f t="shared" si="320"/>
        <v>1</v>
      </c>
      <c r="J2417" s="860">
        <f t="shared" si="320"/>
        <v>0</v>
      </c>
      <c r="K2417" s="1217">
        <f t="shared" si="319"/>
        <v>0</v>
      </c>
      <c r="L2417" s="711"/>
      <c r="M2417" s="711"/>
    </row>
    <row r="2418" spans="1:13" ht="24.95" customHeight="1">
      <c r="A2418" s="456" t="s">
        <v>5081</v>
      </c>
      <c r="B2418" s="452" t="s">
        <v>5082</v>
      </c>
      <c r="C2418" s="1226"/>
      <c r="D2418" s="1226"/>
      <c r="E2418" s="1258" t="e">
        <f t="shared" si="317"/>
        <v>#DIV/0!</v>
      </c>
      <c r="F2418" s="1227">
        <v>1</v>
      </c>
      <c r="G2418" s="1227"/>
      <c r="H2418" s="1258">
        <f t="shared" si="318"/>
        <v>0</v>
      </c>
      <c r="I2418" s="1216"/>
      <c r="J2418" s="860">
        <f t="shared" si="320"/>
        <v>0</v>
      </c>
      <c r="K2418" s="1217" t="e">
        <f t="shared" si="319"/>
        <v>#DIV/0!</v>
      </c>
      <c r="L2418" s="711"/>
      <c r="M2418" s="711"/>
    </row>
    <row r="2419" spans="1:13" ht="24.95" customHeight="1">
      <c r="A2419" s="456" t="s">
        <v>5083</v>
      </c>
      <c r="B2419" s="452" t="s">
        <v>5084</v>
      </c>
      <c r="C2419" s="1226">
        <v>1</v>
      </c>
      <c r="D2419" s="1226"/>
      <c r="E2419" s="1258">
        <f t="shared" si="317"/>
        <v>0</v>
      </c>
      <c r="F2419" s="1227"/>
      <c r="G2419" s="1227"/>
      <c r="H2419" s="1258" t="e">
        <f t="shared" si="318"/>
        <v>#DIV/0!</v>
      </c>
      <c r="I2419" s="1216">
        <f t="shared" ref="I2419:J2447" si="321">+C2419+F2419</f>
        <v>1</v>
      </c>
      <c r="J2419" s="860">
        <f t="shared" si="320"/>
        <v>0</v>
      </c>
      <c r="K2419" s="1217">
        <f t="shared" si="319"/>
        <v>0</v>
      </c>
      <c r="L2419" s="711"/>
      <c r="M2419" s="711"/>
    </row>
    <row r="2420" spans="1:13" ht="24.95" customHeight="1">
      <c r="A2420" s="456" t="s">
        <v>5085</v>
      </c>
      <c r="B2420" s="452" t="s">
        <v>5086</v>
      </c>
      <c r="C2420" s="1226"/>
      <c r="D2420" s="1226"/>
      <c r="E2420" s="1258" t="e">
        <f t="shared" si="317"/>
        <v>#DIV/0!</v>
      </c>
      <c r="F2420" s="1227"/>
      <c r="G2420" s="1227"/>
      <c r="H2420" s="1258" t="e">
        <f t="shared" si="318"/>
        <v>#DIV/0!</v>
      </c>
      <c r="I2420" s="1216">
        <f t="shared" si="321"/>
        <v>0</v>
      </c>
      <c r="J2420" s="860">
        <f t="shared" si="321"/>
        <v>0</v>
      </c>
      <c r="K2420" s="1217" t="e">
        <f t="shared" si="319"/>
        <v>#DIV/0!</v>
      </c>
      <c r="L2420" s="711"/>
      <c r="M2420" s="711"/>
    </row>
    <row r="2421" spans="1:13" ht="24.95" customHeight="1">
      <c r="A2421" s="456" t="s">
        <v>5087</v>
      </c>
      <c r="B2421" s="452" t="s">
        <v>5088</v>
      </c>
      <c r="C2421" s="1226"/>
      <c r="D2421" s="1226"/>
      <c r="E2421" s="1258" t="e">
        <f t="shared" si="317"/>
        <v>#DIV/0!</v>
      </c>
      <c r="F2421" s="1227"/>
      <c r="G2421" s="1227"/>
      <c r="H2421" s="1258" t="e">
        <f t="shared" si="318"/>
        <v>#DIV/0!</v>
      </c>
      <c r="I2421" s="1216">
        <f t="shared" si="321"/>
        <v>0</v>
      </c>
      <c r="J2421" s="860">
        <f t="shared" si="321"/>
        <v>0</v>
      </c>
      <c r="K2421" s="1217" t="e">
        <f t="shared" si="319"/>
        <v>#DIV/0!</v>
      </c>
      <c r="L2421" s="711"/>
      <c r="M2421" s="711"/>
    </row>
    <row r="2422" spans="1:13" ht="24.95" customHeight="1">
      <c r="A2422" s="456" t="s">
        <v>5089</v>
      </c>
      <c r="B2422" s="452" t="s">
        <v>5090</v>
      </c>
      <c r="C2422" s="1226">
        <v>1</v>
      </c>
      <c r="D2422" s="1226"/>
      <c r="E2422" s="1258">
        <f t="shared" si="317"/>
        <v>0</v>
      </c>
      <c r="F2422" s="1227"/>
      <c r="G2422" s="1227"/>
      <c r="H2422" s="1258" t="e">
        <f t="shared" si="318"/>
        <v>#DIV/0!</v>
      </c>
      <c r="I2422" s="1216">
        <f t="shared" si="321"/>
        <v>1</v>
      </c>
      <c r="J2422" s="860">
        <f t="shared" si="321"/>
        <v>0</v>
      </c>
      <c r="K2422" s="1217">
        <f t="shared" si="319"/>
        <v>0</v>
      </c>
      <c r="L2422" s="711"/>
      <c r="M2422" s="711"/>
    </row>
    <row r="2423" spans="1:13" ht="24.95" customHeight="1">
      <c r="A2423" s="456" t="s">
        <v>5091</v>
      </c>
      <c r="B2423" s="452" t="s">
        <v>5092</v>
      </c>
      <c r="C2423" s="1226">
        <v>3</v>
      </c>
      <c r="D2423" s="1226"/>
      <c r="E2423" s="1258">
        <f t="shared" si="317"/>
        <v>0</v>
      </c>
      <c r="F2423" s="1227"/>
      <c r="G2423" s="1227"/>
      <c r="H2423" s="1258" t="e">
        <f t="shared" si="318"/>
        <v>#DIV/0!</v>
      </c>
      <c r="I2423" s="1216">
        <f t="shared" si="321"/>
        <v>3</v>
      </c>
      <c r="J2423" s="860">
        <f t="shared" si="321"/>
        <v>0</v>
      </c>
      <c r="K2423" s="1217">
        <f t="shared" si="319"/>
        <v>0</v>
      </c>
      <c r="L2423" s="711"/>
      <c r="M2423" s="711"/>
    </row>
    <row r="2424" spans="1:13" ht="24.95" customHeight="1">
      <c r="A2424" s="456" t="s">
        <v>5093</v>
      </c>
      <c r="B2424" s="452" t="s">
        <v>5094</v>
      </c>
      <c r="C2424" s="1226">
        <v>3</v>
      </c>
      <c r="D2424" s="1226">
        <v>1</v>
      </c>
      <c r="E2424" s="1258">
        <f t="shared" si="317"/>
        <v>0.33333333333333331</v>
      </c>
      <c r="F2424" s="1227"/>
      <c r="G2424" s="1227"/>
      <c r="H2424" s="1258" t="e">
        <f t="shared" si="318"/>
        <v>#DIV/0!</v>
      </c>
      <c r="I2424" s="1216">
        <f t="shared" si="321"/>
        <v>3</v>
      </c>
      <c r="J2424" s="860">
        <f t="shared" si="321"/>
        <v>1</v>
      </c>
      <c r="K2424" s="1217">
        <f t="shared" si="319"/>
        <v>0.33333333333333331</v>
      </c>
      <c r="L2424" s="711"/>
      <c r="M2424" s="711"/>
    </row>
    <row r="2425" spans="1:13" ht="24.95" customHeight="1">
      <c r="A2425" s="456" t="s">
        <v>5095</v>
      </c>
      <c r="B2425" s="452" t="s">
        <v>5096</v>
      </c>
      <c r="C2425" s="1226">
        <v>2</v>
      </c>
      <c r="D2425" s="1226"/>
      <c r="E2425" s="1258">
        <f t="shared" si="317"/>
        <v>0</v>
      </c>
      <c r="F2425" s="1227"/>
      <c r="G2425" s="1227"/>
      <c r="H2425" s="1258" t="e">
        <f t="shared" si="318"/>
        <v>#DIV/0!</v>
      </c>
      <c r="I2425" s="1216">
        <f t="shared" si="321"/>
        <v>2</v>
      </c>
      <c r="J2425" s="860">
        <f t="shared" si="321"/>
        <v>0</v>
      </c>
      <c r="K2425" s="1217">
        <f t="shared" si="319"/>
        <v>0</v>
      </c>
      <c r="L2425" s="711"/>
      <c r="M2425" s="711"/>
    </row>
    <row r="2426" spans="1:13" ht="24.95" customHeight="1">
      <c r="A2426" s="456" t="s">
        <v>5097</v>
      </c>
      <c r="B2426" s="452" t="s">
        <v>5098</v>
      </c>
      <c r="C2426" s="1226">
        <v>1</v>
      </c>
      <c r="D2426" s="1226"/>
      <c r="E2426" s="1258">
        <f t="shared" si="317"/>
        <v>0</v>
      </c>
      <c r="F2426" s="1227"/>
      <c r="G2426" s="1227"/>
      <c r="H2426" s="1258" t="e">
        <f t="shared" si="318"/>
        <v>#DIV/0!</v>
      </c>
      <c r="I2426" s="1216">
        <f t="shared" si="321"/>
        <v>1</v>
      </c>
      <c r="J2426" s="860">
        <f t="shared" si="321"/>
        <v>0</v>
      </c>
      <c r="K2426" s="1217">
        <f t="shared" si="319"/>
        <v>0</v>
      </c>
      <c r="L2426" s="711"/>
      <c r="M2426" s="711"/>
    </row>
    <row r="2427" spans="1:13" ht="24.95" customHeight="1">
      <c r="A2427" s="456" t="s">
        <v>5099</v>
      </c>
      <c r="B2427" s="1233" t="s">
        <v>5100</v>
      </c>
      <c r="C2427" s="1226">
        <v>1</v>
      </c>
      <c r="D2427" s="1226"/>
      <c r="E2427" s="1258">
        <f t="shared" si="317"/>
        <v>0</v>
      </c>
      <c r="F2427" s="1227"/>
      <c r="G2427" s="1227"/>
      <c r="H2427" s="1258" t="e">
        <f t="shared" si="318"/>
        <v>#DIV/0!</v>
      </c>
      <c r="I2427" s="1216">
        <f t="shared" si="321"/>
        <v>1</v>
      </c>
      <c r="J2427" s="860">
        <f t="shared" si="321"/>
        <v>0</v>
      </c>
      <c r="K2427" s="1217">
        <f t="shared" si="319"/>
        <v>0</v>
      </c>
      <c r="L2427" s="711"/>
      <c r="M2427" s="711"/>
    </row>
    <row r="2428" spans="1:13" ht="24.95" customHeight="1">
      <c r="A2428" s="456" t="s">
        <v>5101</v>
      </c>
      <c r="B2428" s="452" t="s">
        <v>5102</v>
      </c>
      <c r="C2428" s="1226">
        <v>2</v>
      </c>
      <c r="D2428" s="1226"/>
      <c r="E2428" s="1258">
        <f t="shared" si="317"/>
        <v>0</v>
      </c>
      <c r="F2428" s="1227">
        <v>10</v>
      </c>
      <c r="G2428" s="1227"/>
      <c r="H2428" s="1258">
        <f t="shared" si="318"/>
        <v>0</v>
      </c>
      <c r="I2428" s="1216">
        <f t="shared" si="321"/>
        <v>12</v>
      </c>
      <c r="J2428" s="860">
        <f t="shared" si="321"/>
        <v>0</v>
      </c>
      <c r="K2428" s="1217">
        <f t="shared" si="319"/>
        <v>0</v>
      </c>
      <c r="L2428" s="711"/>
      <c r="M2428" s="711"/>
    </row>
    <row r="2429" spans="1:13" ht="24.95" customHeight="1">
      <c r="A2429" s="456" t="s">
        <v>5103</v>
      </c>
      <c r="B2429" s="452" t="s">
        <v>5104</v>
      </c>
      <c r="C2429" s="1226"/>
      <c r="D2429" s="1226"/>
      <c r="E2429" s="1258" t="e">
        <f t="shared" si="317"/>
        <v>#DIV/0!</v>
      </c>
      <c r="F2429" s="1227">
        <v>1</v>
      </c>
      <c r="G2429" s="1227"/>
      <c r="H2429" s="1258">
        <f t="shared" si="318"/>
        <v>0</v>
      </c>
      <c r="I2429" s="1216">
        <f t="shared" si="321"/>
        <v>1</v>
      </c>
      <c r="J2429" s="860">
        <f t="shared" si="321"/>
        <v>0</v>
      </c>
      <c r="K2429" s="1217">
        <f t="shared" si="319"/>
        <v>0</v>
      </c>
      <c r="L2429" s="711"/>
      <c r="M2429" s="711"/>
    </row>
    <row r="2430" spans="1:13" ht="24.95" customHeight="1">
      <c r="A2430" s="456" t="s">
        <v>5105</v>
      </c>
      <c r="B2430" s="1233" t="s">
        <v>5106</v>
      </c>
      <c r="C2430" s="1226"/>
      <c r="D2430" s="1226"/>
      <c r="E2430" s="1258" t="e">
        <f t="shared" si="317"/>
        <v>#DIV/0!</v>
      </c>
      <c r="F2430" s="1227"/>
      <c r="G2430" s="1227"/>
      <c r="H2430" s="1258" t="e">
        <f t="shared" si="318"/>
        <v>#DIV/0!</v>
      </c>
      <c r="I2430" s="1216">
        <f t="shared" si="321"/>
        <v>0</v>
      </c>
      <c r="J2430" s="860">
        <f t="shared" si="321"/>
        <v>0</v>
      </c>
      <c r="K2430" s="1217" t="e">
        <f t="shared" si="319"/>
        <v>#DIV/0!</v>
      </c>
      <c r="L2430" s="711"/>
      <c r="M2430" s="711"/>
    </row>
    <row r="2431" spans="1:13" ht="24.95" customHeight="1">
      <c r="A2431" s="456" t="s">
        <v>3615</v>
      </c>
      <c r="B2431" s="452" t="s">
        <v>3616</v>
      </c>
      <c r="C2431" s="1226">
        <v>885</v>
      </c>
      <c r="D2431" s="1226">
        <v>626</v>
      </c>
      <c r="E2431" s="1258">
        <f t="shared" si="317"/>
        <v>0.70734463276836157</v>
      </c>
      <c r="F2431" s="1227">
        <v>50</v>
      </c>
      <c r="G2431" s="1227">
        <v>14</v>
      </c>
      <c r="H2431" s="1258">
        <f t="shared" si="318"/>
        <v>0.28000000000000003</v>
      </c>
      <c r="I2431" s="1216">
        <f t="shared" si="321"/>
        <v>935</v>
      </c>
      <c r="J2431" s="860">
        <f t="shared" si="321"/>
        <v>640</v>
      </c>
      <c r="K2431" s="1217">
        <f t="shared" si="319"/>
        <v>0.68449197860962563</v>
      </c>
      <c r="L2431" s="711"/>
      <c r="M2431" s="711"/>
    </row>
    <row r="2432" spans="1:13" ht="24.95" customHeight="1">
      <c r="A2432" s="456" t="s">
        <v>5107</v>
      </c>
      <c r="B2432" s="452" t="s">
        <v>5108</v>
      </c>
      <c r="C2432" s="1226">
        <v>10</v>
      </c>
      <c r="D2432" s="1226">
        <v>2</v>
      </c>
      <c r="E2432" s="1258">
        <f t="shared" si="317"/>
        <v>0.2</v>
      </c>
      <c r="F2432" s="1227"/>
      <c r="G2432" s="1227"/>
      <c r="H2432" s="1258" t="e">
        <f t="shared" si="318"/>
        <v>#DIV/0!</v>
      </c>
      <c r="I2432" s="1216">
        <f t="shared" si="321"/>
        <v>10</v>
      </c>
      <c r="J2432" s="860">
        <f t="shared" si="321"/>
        <v>2</v>
      </c>
      <c r="K2432" s="1217">
        <f t="shared" si="319"/>
        <v>0.2</v>
      </c>
      <c r="L2432" s="711"/>
      <c r="M2432" s="711"/>
    </row>
    <row r="2433" spans="1:13" ht="24.95" customHeight="1">
      <c r="A2433" s="456" t="s">
        <v>5109</v>
      </c>
      <c r="B2433" s="452" t="s">
        <v>5110</v>
      </c>
      <c r="C2433" s="1226"/>
      <c r="D2433" s="1226"/>
      <c r="E2433" s="1258" t="e">
        <f t="shared" si="317"/>
        <v>#DIV/0!</v>
      </c>
      <c r="F2433" s="1227"/>
      <c r="G2433" s="1227"/>
      <c r="H2433" s="1258" t="e">
        <f t="shared" si="318"/>
        <v>#DIV/0!</v>
      </c>
      <c r="I2433" s="1216">
        <f t="shared" si="321"/>
        <v>0</v>
      </c>
      <c r="J2433" s="860">
        <f t="shared" si="321"/>
        <v>0</v>
      </c>
      <c r="K2433" s="1217" t="e">
        <f t="shared" si="319"/>
        <v>#DIV/0!</v>
      </c>
      <c r="L2433" s="711"/>
      <c r="M2433" s="711"/>
    </row>
    <row r="2434" spans="1:13" ht="24.95" customHeight="1">
      <c r="A2434" s="456" t="s">
        <v>5111</v>
      </c>
      <c r="B2434" s="452" t="s">
        <v>5112</v>
      </c>
      <c r="C2434" s="1226">
        <v>140</v>
      </c>
      <c r="D2434" s="1226">
        <v>68</v>
      </c>
      <c r="E2434" s="1258">
        <f t="shared" si="317"/>
        <v>0.48571428571428571</v>
      </c>
      <c r="F2434" s="1227">
        <v>3</v>
      </c>
      <c r="G2434" s="1227"/>
      <c r="H2434" s="1258">
        <f t="shared" si="318"/>
        <v>0</v>
      </c>
      <c r="I2434" s="1216">
        <f t="shared" si="321"/>
        <v>143</v>
      </c>
      <c r="J2434" s="860">
        <f t="shared" si="321"/>
        <v>68</v>
      </c>
      <c r="K2434" s="1217">
        <f t="shared" si="319"/>
        <v>0.47552447552447552</v>
      </c>
      <c r="L2434" s="711"/>
      <c r="M2434" s="711"/>
    </row>
    <row r="2435" spans="1:13" ht="24.95" customHeight="1">
      <c r="A2435" s="456" t="s">
        <v>5113</v>
      </c>
      <c r="B2435" s="452" t="s">
        <v>5114</v>
      </c>
      <c r="C2435" s="1226">
        <v>340</v>
      </c>
      <c r="D2435" s="1226">
        <v>91</v>
      </c>
      <c r="E2435" s="1258">
        <f t="shared" si="317"/>
        <v>0.2676470588235294</v>
      </c>
      <c r="F2435" s="1227">
        <v>5</v>
      </c>
      <c r="G2435" s="1227"/>
      <c r="H2435" s="1258">
        <f t="shared" si="318"/>
        <v>0</v>
      </c>
      <c r="I2435" s="1216">
        <f t="shared" si="321"/>
        <v>345</v>
      </c>
      <c r="J2435" s="860">
        <f t="shared" si="321"/>
        <v>91</v>
      </c>
      <c r="K2435" s="1217">
        <f t="shared" si="319"/>
        <v>0.26376811594202898</v>
      </c>
      <c r="L2435" s="711"/>
      <c r="M2435" s="711"/>
    </row>
    <row r="2436" spans="1:13" ht="24.95" customHeight="1">
      <c r="A2436" s="456" t="s">
        <v>5115</v>
      </c>
      <c r="B2436" s="452" t="s">
        <v>5116</v>
      </c>
      <c r="C2436" s="1226"/>
      <c r="D2436" s="1226"/>
      <c r="E2436" s="1258" t="e">
        <f t="shared" si="317"/>
        <v>#DIV/0!</v>
      </c>
      <c r="F2436" s="1227"/>
      <c r="G2436" s="1227"/>
      <c r="H2436" s="1258" t="e">
        <f t="shared" si="318"/>
        <v>#DIV/0!</v>
      </c>
      <c r="I2436" s="1216">
        <f t="shared" si="321"/>
        <v>0</v>
      </c>
      <c r="J2436" s="860">
        <f t="shared" si="321"/>
        <v>0</v>
      </c>
      <c r="K2436" s="1217" t="e">
        <f t="shared" si="319"/>
        <v>#DIV/0!</v>
      </c>
      <c r="L2436" s="711"/>
      <c r="M2436" s="711"/>
    </row>
    <row r="2437" spans="1:13" ht="24.95" customHeight="1">
      <c r="A2437" s="456">
        <v>600349</v>
      </c>
      <c r="B2437" s="1260" t="s">
        <v>2434</v>
      </c>
      <c r="C2437" s="1226">
        <v>2</v>
      </c>
      <c r="D2437" s="1226"/>
      <c r="E2437" s="1258">
        <f t="shared" ref="E2437:E2500" si="322">+D2437/C2437</f>
        <v>0</v>
      </c>
      <c r="F2437" s="1227">
        <v>15225</v>
      </c>
      <c r="G2437" s="1227">
        <v>7590</v>
      </c>
      <c r="H2437" s="1258">
        <f t="shared" ref="H2437:H2500" si="323">+G2437/F2437</f>
        <v>0.49852216748768474</v>
      </c>
      <c r="I2437" s="1216">
        <f t="shared" si="321"/>
        <v>15227</v>
      </c>
      <c r="J2437" s="860">
        <f t="shared" si="321"/>
        <v>7590</v>
      </c>
      <c r="K2437" s="1217">
        <f t="shared" ref="K2437:K2500" si="324">+J2437/I2437</f>
        <v>0.49845668877651539</v>
      </c>
      <c r="L2437" s="711"/>
      <c r="M2437" s="711"/>
    </row>
    <row r="2438" spans="1:13" ht="24.95" customHeight="1">
      <c r="A2438" s="1235" t="s">
        <v>5117</v>
      </c>
      <c r="B2438" s="1236" t="s">
        <v>5118</v>
      </c>
      <c r="C2438" s="1226">
        <v>10</v>
      </c>
      <c r="D2438" s="1226">
        <v>1</v>
      </c>
      <c r="E2438" s="1258">
        <f t="shared" si="322"/>
        <v>0.1</v>
      </c>
      <c r="F2438" s="1227">
        <v>5</v>
      </c>
      <c r="G2438" s="1227"/>
      <c r="H2438" s="1258">
        <f t="shared" si="323"/>
        <v>0</v>
      </c>
      <c r="I2438" s="1216">
        <f t="shared" si="321"/>
        <v>15</v>
      </c>
      <c r="J2438" s="860">
        <f t="shared" si="321"/>
        <v>1</v>
      </c>
      <c r="K2438" s="1217">
        <f t="shared" si="324"/>
        <v>6.6666666666666666E-2</v>
      </c>
      <c r="L2438" s="711"/>
      <c r="M2438" s="711"/>
    </row>
    <row r="2439" spans="1:13" ht="24.95" customHeight="1">
      <c r="A2439" s="1235" t="s">
        <v>2439</v>
      </c>
      <c r="B2439" s="1236" t="s">
        <v>2440</v>
      </c>
      <c r="C2439" s="1226"/>
      <c r="D2439" s="1226"/>
      <c r="E2439" s="1258" t="e">
        <f t="shared" si="322"/>
        <v>#DIV/0!</v>
      </c>
      <c r="F2439" s="1227">
        <v>1350</v>
      </c>
      <c r="G2439" s="1227">
        <f>501-11</f>
        <v>490</v>
      </c>
      <c r="H2439" s="1258">
        <f t="shared" si="323"/>
        <v>0.36296296296296299</v>
      </c>
      <c r="I2439" s="1216">
        <f t="shared" si="321"/>
        <v>1350</v>
      </c>
      <c r="J2439" s="860">
        <f t="shared" si="321"/>
        <v>490</v>
      </c>
      <c r="K2439" s="1217">
        <f t="shared" si="324"/>
        <v>0.36296296296296299</v>
      </c>
      <c r="L2439" s="711"/>
      <c r="M2439" s="711"/>
    </row>
    <row r="2440" spans="1:13" ht="24.95" customHeight="1">
      <c r="A2440" s="1235" t="s">
        <v>2354</v>
      </c>
      <c r="B2440" s="1236" t="s">
        <v>2355</v>
      </c>
      <c r="C2440" s="1226"/>
      <c r="D2440" s="1226"/>
      <c r="E2440" s="1258" t="e">
        <f t="shared" si="322"/>
        <v>#DIV/0!</v>
      </c>
      <c r="F2440" s="1227"/>
      <c r="G2440" s="1227"/>
      <c r="H2440" s="1258" t="e">
        <f t="shared" si="323"/>
        <v>#DIV/0!</v>
      </c>
      <c r="I2440" s="1216">
        <f t="shared" si="321"/>
        <v>0</v>
      </c>
      <c r="J2440" s="860">
        <f t="shared" si="321"/>
        <v>0</v>
      </c>
      <c r="K2440" s="1217" t="e">
        <f t="shared" si="324"/>
        <v>#DIV/0!</v>
      </c>
      <c r="L2440" s="711"/>
      <c r="M2440" s="711"/>
    </row>
    <row r="2441" spans="1:13" ht="24.95" customHeight="1">
      <c r="A2441" s="456" t="s">
        <v>5119</v>
      </c>
      <c r="B2441" s="452" t="s">
        <v>5120</v>
      </c>
      <c r="C2441" s="1226"/>
      <c r="D2441" s="1226"/>
      <c r="E2441" s="1258" t="e">
        <f t="shared" si="322"/>
        <v>#DIV/0!</v>
      </c>
      <c r="F2441" s="1227"/>
      <c r="G2441" s="1227"/>
      <c r="H2441" s="1258" t="e">
        <f t="shared" si="323"/>
        <v>#DIV/0!</v>
      </c>
      <c r="I2441" s="1216">
        <f t="shared" si="321"/>
        <v>0</v>
      </c>
      <c r="J2441" s="860">
        <f t="shared" si="321"/>
        <v>0</v>
      </c>
      <c r="K2441" s="1217" t="e">
        <f t="shared" si="324"/>
        <v>#DIV/0!</v>
      </c>
      <c r="L2441" s="711"/>
      <c r="M2441" s="711"/>
    </row>
    <row r="2442" spans="1:13" ht="24.95" customHeight="1">
      <c r="A2442" s="1235" t="s">
        <v>5121</v>
      </c>
      <c r="B2442" s="1236" t="s">
        <v>5122</v>
      </c>
      <c r="C2442" s="1226">
        <v>1</v>
      </c>
      <c r="D2442" s="1226"/>
      <c r="E2442" s="1258">
        <f t="shared" si="322"/>
        <v>0</v>
      </c>
      <c r="F2442" s="1227"/>
      <c r="G2442" s="1227"/>
      <c r="H2442" s="1258" t="e">
        <f t="shared" si="323"/>
        <v>#DIV/0!</v>
      </c>
      <c r="I2442" s="1216">
        <f t="shared" si="321"/>
        <v>1</v>
      </c>
      <c r="J2442" s="860">
        <f t="shared" si="321"/>
        <v>0</v>
      </c>
      <c r="K2442" s="1217">
        <f t="shared" si="324"/>
        <v>0</v>
      </c>
      <c r="L2442" s="711"/>
      <c r="M2442" s="711"/>
    </row>
    <row r="2443" spans="1:13" ht="24.95" customHeight="1">
      <c r="A2443" s="456" t="s">
        <v>5123</v>
      </c>
      <c r="B2443" s="452" t="s">
        <v>5124</v>
      </c>
      <c r="C2443" s="1226">
        <v>1</v>
      </c>
      <c r="D2443" s="1226"/>
      <c r="E2443" s="1258">
        <f t="shared" si="322"/>
        <v>0</v>
      </c>
      <c r="F2443" s="1227"/>
      <c r="G2443" s="1227"/>
      <c r="H2443" s="1258" t="e">
        <f t="shared" si="323"/>
        <v>#DIV/0!</v>
      </c>
      <c r="I2443" s="1216">
        <f t="shared" si="321"/>
        <v>1</v>
      </c>
      <c r="J2443" s="860">
        <f t="shared" si="321"/>
        <v>0</v>
      </c>
      <c r="K2443" s="1217">
        <f t="shared" si="324"/>
        <v>0</v>
      </c>
      <c r="L2443" s="711"/>
      <c r="M2443" s="711"/>
    </row>
    <row r="2444" spans="1:13" ht="24.95" customHeight="1">
      <c r="A2444" s="456" t="s">
        <v>5125</v>
      </c>
      <c r="B2444" s="452" t="s">
        <v>5126</v>
      </c>
      <c r="C2444" s="1226">
        <v>3</v>
      </c>
      <c r="D2444" s="1226"/>
      <c r="E2444" s="1258">
        <f t="shared" si="322"/>
        <v>0</v>
      </c>
      <c r="F2444" s="1227"/>
      <c r="G2444" s="1227"/>
      <c r="H2444" s="1258" t="e">
        <f t="shared" si="323"/>
        <v>#DIV/0!</v>
      </c>
      <c r="I2444" s="1216">
        <f t="shared" si="321"/>
        <v>3</v>
      </c>
      <c r="J2444" s="860">
        <f t="shared" si="321"/>
        <v>0</v>
      </c>
      <c r="K2444" s="1217">
        <f t="shared" si="324"/>
        <v>0</v>
      </c>
      <c r="L2444" s="711"/>
      <c r="M2444" s="711"/>
    </row>
    <row r="2445" spans="1:13" ht="24.95" customHeight="1">
      <c r="A2445" s="456" t="s">
        <v>5127</v>
      </c>
      <c r="B2445" s="452" t="s">
        <v>5128</v>
      </c>
      <c r="C2445" s="1226">
        <v>2</v>
      </c>
      <c r="D2445" s="1226"/>
      <c r="E2445" s="1258">
        <f t="shared" si="322"/>
        <v>0</v>
      </c>
      <c r="F2445" s="1227"/>
      <c r="G2445" s="1227"/>
      <c r="H2445" s="1258" t="e">
        <f t="shared" si="323"/>
        <v>#DIV/0!</v>
      </c>
      <c r="I2445" s="1216">
        <f t="shared" si="321"/>
        <v>2</v>
      </c>
      <c r="J2445" s="860">
        <f t="shared" si="321"/>
        <v>0</v>
      </c>
      <c r="K2445" s="1217">
        <f t="shared" si="324"/>
        <v>0</v>
      </c>
      <c r="L2445" s="711"/>
      <c r="M2445" s="711"/>
    </row>
    <row r="2446" spans="1:13" ht="24.95" customHeight="1">
      <c r="A2446" s="456" t="s">
        <v>5129</v>
      </c>
      <c r="B2446" s="452" t="s">
        <v>5130</v>
      </c>
      <c r="C2446" s="1226">
        <v>10</v>
      </c>
      <c r="D2446" s="1226">
        <v>1</v>
      </c>
      <c r="E2446" s="1258">
        <f t="shared" si="322"/>
        <v>0.1</v>
      </c>
      <c r="F2446" s="1227">
        <v>5</v>
      </c>
      <c r="G2446" s="1227"/>
      <c r="H2446" s="1258">
        <f t="shared" si="323"/>
        <v>0</v>
      </c>
      <c r="I2446" s="1216">
        <f t="shared" si="321"/>
        <v>15</v>
      </c>
      <c r="J2446" s="860">
        <f t="shared" si="321"/>
        <v>1</v>
      </c>
      <c r="K2446" s="1217">
        <f t="shared" si="324"/>
        <v>6.6666666666666666E-2</v>
      </c>
      <c r="L2446" s="711"/>
      <c r="M2446" s="711"/>
    </row>
    <row r="2447" spans="1:13" ht="24.95" customHeight="1">
      <c r="A2447" s="1235" t="s">
        <v>5131</v>
      </c>
      <c r="B2447" s="1236" t="s">
        <v>5132</v>
      </c>
      <c r="C2447" s="1226">
        <v>1255</v>
      </c>
      <c r="D2447" s="1226">
        <v>590</v>
      </c>
      <c r="E2447" s="1258">
        <f t="shared" si="322"/>
        <v>0.47011952191235062</v>
      </c>
      <c r="F2447" s="1227">
        <v>85</v>
      </c>
      <c r="G2447" s="1227">
        <v>24</v>
      </c>
      <c r="H2447" s="1258">
        <f t="shared" si="323"/>
        <v>0.28235294117647058</v>
      </c>
      <c r="I2447" s="1216">
        <f t="shared" si="321"/>
        <v>1340</v>
      </c>
      <c r="J2447" s="860">
        <f t="shared" si="321"/>
        <v>614</v>
      </c>
      <c r="K2447" s="1217">
        <f t="shared" si="324"/>
        <v>0.45820895522388061</v>
      </c>
      <c r="L2447" s="711"/>
      <c r="M2447" s="711"/>
    </row>
    <row r="2448" spans="1:13" ht="24.95" customHeight="1">
      <c r="A2448" s="1235" t="s">
        <v>5133</v>
      </c>
      <c r="B2448" s="1236" t="s">
        <v>5134</v>
      </c>
      <c r="C2448" s="1226">
        <v>2</v>
      </c>
      <c r="D2448" s="1226"/>
      <c r="E2448" s="1258">
        <f t="shared" si="322"/>
        <v>0</v>
      </c>
      <c r="F2448" s="1227">
        <v>15</v>
      </c>
      <c r="G2448" s="1227"/>
      <c r="H2448" s="1258">
        <f t="shared" si="323"/>
        <v>0</v>
      </c>
      <c r="I2448" s="1216"/>
      <c r="J2448" s="860">
        <f t="shared" ref="J2448:J2502" si="325">+D2448+G2448</f>
        <v>0</v>
      </c>
      <c r="K2448" s="1217" t="e">
        <f t="shared" si="324"/>
        <v>#DIV/0!</v>
      </c>
      <c r="L2448" s="711"/>
      <c r="M2448" s="711"/>
    </row>
    <row r="2449" spans="1:13" ht="24.95" customHeight="1">
      <c r="A2449" s="1235" t="s">
        <v>2902</v>
      </c>
      <c r="B2449" s="1236" t="s">
        <v>5135</v>
      </c>
      <c r="C2449" s="1226"/>
      <c r="D2449" s="1226"/>
      <c r="E2449" s="1258" t="e">
        <f t="shared" si="322"/>
        <v>#DIV/0!</v>
      </c>
      <c r="F2449" s="1227">
        <v>130</v>
      </c>
      <c r="G2449" s="1227">
        <v>8</v>
      </c>
      <c r="H2449" s="1258">
        <f t="shared" si="323"/>
        <v>6.1538461538461542E-2</v>
      </c>
      <c r="I2449" s="1216">
        <f t="shared" ref="I2449:I2501" si="326">+C2449+F2449</f>
        <v>130</v>
      </c>
      <c r="J2449" s="860">
        <f t="shared" si="325"/>
        <v>8</v>
      </c>
      <c r="K2449" s="1217">
        <f t="shared" si="324"/>
        <v>6.1538461538461542E-2</v>
      </c>
      <c r="L2449" s="711"/>
      <c r="M2449" s="711"/>
    </row>
    <row r="2450" spans="1:13" ht="24.95" customHeight="1">
      <c r="A2450" s="1235" t="s">
        <v>3039</v>
      </c>
      <c r="B2450" s="1236" t="s">
        <v>2456</v>
      </c>
      <c r="C2450" s="1226"/>
      <c r="D2450" s="1226"/>
      <c r="E2450" s="1258" t="e">
        <f t="shared" si="322"/>
        <v>#DIV/0!</v>
      </c>
      <c r="F2450" s="1227">
        <v>200</v>
      </c>
      <c r="G2450" s="1227">
        <v>64</v>
      </c>
      <c r="H2450" s="1258">
        <f t="shared" si="323"/>
        <v>0.32</v>
      </c>
      <c r="I2450" s="1216">
        <f t="shared" si="326"/>
        <v>200</v>
      </c>
      <c r="J2450" s="860">
        <f t="shared" si="325"/>
        <v>64</v>
      </c>
      <c r="K2450" s="1217">
        <f t="shared" si="324"/>
        <v>0.32</v>
      </c>
      <c r="L2450" s="711"/>
      <c r="M2450" s="711"/>
    </row>
    <row r="2451" spans="1:13" ht="24.95" customHeight="1">
      <c r="A2451" s="456" t="s">
        <v>2465</v>
      </c>
      <c r="B2451" s="452" t="s">
        <v>2466</v>
      </c>
      <c r="C2451" s="1226"/>
      <c r="D2451" s="1226"/>
      <c r="E2451" s="1258" t="e">
        <f t="shared" si="322"/>
        <v>#DIV/0!</v>
      </c>
      <c r="F2451" s="1227">
        <v>1</v>
      </c>
      <c r="G2451" s="1227"/>
      <c r="H2451" s="1258">
        <f t="shared" si="323"/>
        <v>0</v>
      </c>
      <c r="I2451" s="1216">
        <f t="shared" si="326"/>
        <v>1</v>
      </c>
      <c r="J2451" s="860">
        <f t="shared" si="325"/>
        <v>0</v>
      </c>
      <c r="K2451" s="1217">
        <f t="shared" si="324"/>
        <v>0</v>
      </c>
      <c r="L2451" s="711"/>
      <c r="M2451" s="711"/>
    </row>
    <row r="2452" spans="1:13" ht="24.95" customHeight="1">
      <c r="A2452" s="456" t="s">
        <v>2469</v>
      </c>
      <c r="B2452" s="452" t="s">
        <v>2470</v>
      </c>
      <c r="C2452" s="1226"/>
      <c r="D2452" s="1226"/>
      <c r="E2452" s="1258" t="e">
        <f t="shared" si="322"/>
        <v>#DIV/0!</v>
      </c>
      <c r="F2452" s="1227">
        <v>40</v>
      </c>
      <c r="G2452" s="1227">
        <v>18</v>
      </c>
      <c r="H2452" s="1258">
        <f t="shared" si="323"/>
        <v>0.45</v>
      </c>
      <c r="I2452" s="1216">
        <f t="shared" si="326"/>
        <v>40</v>
      </c>
      <c r="J2452" s="860">
        <f t="shared" si="325"/>
        <v>18</v>
      </c>
      <c r="K2452" s="1217">
        <f t="shared" si="324"/>
        <v>0.45</v>
      </c>
      <c r="L2452" s="711"/>
      <c r="M2452" s="711"/>
    </row>
    <row r="2453" spans="1:13" ht="24.95" customHeight="1">
      <c r="A2453" s="730" t="s">
        <v>2908</v>
      </c>
      <c r="B2453" s="731" t="s">
        <v>3712</v>
      </c>
      <c r="C2453" s="1226"/>
      <c r="D2453" s="1226"/>
      <c r="E2453" s="1258" t="e">
        <f t="shared" si="322"/>
        <v>#DIV/0!</v>
      </c>
      <c r="F2453" s="1227">
        <v>25</v>
      </c>
      <c r="G2453" s="1227">
        <v>5</v>
      </c>
      <c r="H2453" s="1258">
        <f t="shared" si="323"/>
        <v>0.2</v>
      </c>
      <c r="I2453" s="1216">
        <f t="shared" si="326"/>
        <v>25</v>
      </c>
      <c r="J2453" s="860">
        <f t="shared" si="325"/>
        <v>5</v>
      </c>
      <c r="K2453" s="1217">
        <f t="shared" si="324"/>
        <v>0.2</v>
      </c>
      <c r="L2453" s="711"/>
      <c r="M2453" s="711"/>
    </row>
    <row r="2454" spans="1:13" ht="24.95" customHeight="1">
      <c r="A2454" s="456" t="s">
        <v>2479</v>
      </c>
      <c r="B2454" s="452" t="s">
        <v>2480</v>
      </c>
      <c r="C2454" s="1226">
        <v>5</v>
      </c>
      <c r="D2454" s="1226"/>
      <c r="E2454" s="1258">
        <f t="shared" si="322"/>
        <v>0</v>
      </c>
      <c r="F2454" s="1227">
        <v>85</v>
      </c>
      <c r="G2454" s="1227">
        <v>30</v>
      </c>
      <c r="H2454" s="1258">
        <f t="shared" si="323"/>
        <v>0.35294117647058826</v>
      </c>
      <c r="I2454" s="1216">
        <f t="shared" si="326"/>
        <v>90</v>
      </c>
      <c r="J2454" s="860">
        <f t="shared" si="325"/>
        <v>30</v>
      </c>
      <c r="K2454" s="1217">
        <f t="shared" si="324"/>
        <v>0.33333333333333331</v>
      </c>
      <c r="L2454" s="711"/>
      <c r="M2454" s="711"/>
    </row>
    <row r="2455" spans="1:13" ht="24.95" customHeight="1">
      <c r="A2455" s="1235" t="s">
        <v>3041</v>
      </c>
      <c r="B2455" s="1236" t="s">
        <v>3042</v>
      </c>
      <c r="C2455" s="1226">
        <v>230</v>
      </c>
      <c r="D2455" s="1226">
        <v>115</v>
      </c>
      <c r="E2455" s="1258">
        <f t="shared" si="322"/>
        <v>0.5</v>
      </c>
      <c r="F2455" s="1227">
        <v>75</v>
      </c>
      <c r="G2455" s="1227">
        <v>9</v>
      </c>
      <c r="H2455" s="1258">
        <f t="shared" si="323"/>
        <v>0.12</v>
      </c>
      <c r="I2455" s="1216">
        <f t="shared" si="326"/>
        <v>305</v>
      </c>
      <c r="J2455" s="860">
        <f t="shared" si="325"/>
        <v>124</v>
      </c>
      <c r="K2455" s="1217">
        <f t="shared" si="324"/>
        <v>0.40655737704918032</v>
      </c>
      <c r="L2455" s="711"/>
      <c r="M2455" s="711"/>
    </row>
    <row r="2456" spans="1:13" ht="24.95" customHeight="1">
      <c r="A2456" s="456" t="s">
        <v>2554</v>
      </c>
      <c r="B2456" s="452" t="s">
        <v>4151</v>
      </c>
      <c r="C2456" s="1226">
        <v>2</v>
      </c>
      <c r="D2456" s="1226">
        <v>1</v>
      </c>
      <c r="E2456" s="1258">
        <f t="shared" si="322"/>
        <v>0.5</v>
      </c>
      <c r="F2456" s="1227">
        <v>2</v>
      </c>
      <c r="G2456" s="1227"/>
      <c r="H2456" s="1258">
        <f t="shared" si="323"/>
        <v>0</v>
      </c>
      <c r="I2456" s="1216">
        <f t="shared" si="326"/>
        <v>4</v>
      </c>
      <c r="J2456" s="860">
        <f t="shared" si="325"/>
        <v>1</v>
      </c>
      <c r="K2456" s="1217">
        <f t="shared" si="324"/>
        <v>0.25</v>
      </c>
      <c r="L2456" s="711"/>
      <c r="M2456" s="711"/>
    </row>
    <row r="2457" spans="1:13" ht="24.95" customHeight="1">
      <c r="A2457" s="456" t="s">
        <v>5136</v>
      </c>
      <c r="B2457" s="1236" t="s">
        <v>5137</v>
      </c>
      <c r="C2457" s="1226"/>
      <c r="D2457" s="1226"/>
      <c r="E2457" s="1258" t="e">
        <f t="shared" si="322"/>
        <v>#DIV/0!</v>
      </c>
      <c r="F2457" s="1227"/>
      <c r="G2457" s="1227"/>
      <c r="H2457" s="1258" t="e">
        <f t="shared" si="323"/>
        <v>#DIV/0!</v>
      </c>
      <c r="I2457" s="1216">
        <f t="shared" si="326"/>
        <v>0</v>
      </c>
      <c r="J2457" s="860">
        <f t="shared" si="325"/>
        <v>0</v>
      </c>
      <c r="K2457" s="1217" t="e">
        <f t="shared" si="324"/>
        <v>#DIV/0!</v>
      </c>
      <c r="L2457" s="711"/>
      <c r="M2457" s="711"/>
    </row>
    <row r="2458" spans="1:13" ht="24.95" customHeight="1">
      <c r="A2458" s="456" t="s">
        <v>2607</v>
      </c>
      <c r="B2458" s="1236" t="s">
        <v>2608</v>
      </c>
      <c r="C2458" s="1226"/>
      <c r="D2458" s="1226"/>
      <c r="E2458" s="1258" t="e">
        <f t="shared" si="322"/>
        <v>#DIV/0!</v>
      </c>
      <c r="F2458" s="1227"/>
      <c r="G2458" s="1227"/>
      <c r="H2458" s="1258" t="e">
        <f t="shared" si="323"/>
        <v>#DIV/0!</v>
      </c>
      <c r="I2458" s="1216">
        <f t="shared" si="326"/>
        <v>0</v>
      </c>
      <c r="J2458" s="860">
        <f t="shared" si="325"/>
        <v>0</v>
      </c>
      <c r="K2458" s="1217" t="e">
        <f t="shared" si="324"/>
        <v>#DIV/0!</v>
      </c>
      <c r="L2458" s="711"/>
      <c r="M2458" s="711"/>
    </row>
    <row r="2459" spans="1:13" ht="24.95" customHeight="1">
      <c r="A2459" s="1235" t="s">
        <v>5138</v>
      </c>
      <c r="B2459" s="1236" t="s">
        <v>3723</v>
      </c>
      <c r="C2459" s="1226">
        <v>50</v>
      </c>
      <c r="D2459" s="1226">
        <v>15</v>
      </c>
      <c r="E2459" s="1258">
        <f t="shared" si="322"/>
        <v>0.3</v>
      </c>
      <c r="F2459" s="1227"/>
      <c r="G2459" s="1227"/>
      <c r="H2459" s="1258" t="e">
        <f t="shared" si="323"/>
        <v>#DIV/0!</v>
      </c>
      <c r="I2459" s="1216">
        <f t="shared" si="326"/>
        <v>50</v>
      </c>
      <c r="J2459" s="860">
        <f t="shared" si="325"/>
        <v>15</v>
      </c>
      <c r="K2459" s="1217">
        <f t="shared" si="324"/>
        <v>0.3</v>
      </c>
      <c r="L2459" s="711"/>
      <c r="M2459" s="711"/>
    </row>
    <row r="2460" spans="1:13" ht="24.95" customHeight="1">
      <c r="A2460" s="456" t="s">
        <v>5139</v>
      </c>
      <c r="B2460" s="452" t="s">
        <v>5140</v>
      </c>
      <c r="C2460" s="1226">
        <v>2</v>
      </c>
      <c r="D2460" s="1226"/>
      <c r="E2460" s="1258">
        <f t="shared" si="322"/>
        <v>0</v>
      </c>
      <c r="F2460" s="1227"/>
      <c r="G2460" s="1227"/>
      <c r="H2460" s="1258" t="e">
        <f t="shared" si="323"/>
        <v>#DIV/0!</v>
      </c>
      <c r="I2460" s="1216">
        <f t="shared" si="326"/>
        <v>2</v>
      </c>
      <c r="J2460" s="860">
        <f t="shared" si="325"/>
        <v>0</v>
      </c>
      <c r="K2460" s="1217">
        <f t="shared" si="324"/>
        <v>0</v>
      </c>
      <c r="L2460" s="711"/>
      <c r="M2460" s="711"/>
    </row>
    <row r="2461" spans="1:13" ht="24.95" customHeight="1">
      <c r="A2461" s="1235" t="s">
        <v>5141</v>
      </c>
      <c r="B2461" s="1251" t="s">
        <v>5142</v>
      </c>
      <c r="C2461" s="1226"/>
      <c r="D2461" s="1226"/>
      <c r="E2461" s="1258" t="e">
        <f t="shared" si="322"/>
        <v>#DIV/0!</v>
      </c>
      <c r="F2461" s="1227"/>
      <c r="G2461" s="1227"/>
      <c r="H2461" s="1258" t="e">
        <f t="shared" si="323"/>
        <v>#DIV/0!</v>
      </c>
      <c r="I2461" s="1216">
        <f t="shared" si="326"/>
        <v>0</v>
      </c>
      <c r="J2461" s="860">
        <f t="shared" si="325"/>
        <v>0</v>
      </c>
      <c r="K2461" s="1217" t="e">
        <f t="shared" si="324"/>
        <v>#DIV/0!</v>
      </c>
      <c r="L2461" s="711"/>
      <c r="M2461" s="711"/>
    </row>
    <row r="2462" spans="1:13" ht="24.95" customHeight="1">
      <c r="A2462" s="456" t="s">
        <v>3145</v>
      </c>
      <c r="B2462" s="452" t="s">
        <v>3146</v>
      </c>
      <c r="C2462" s="1226"/>
      <c r="D2462" s="1226"/>
      <c r="E2462" s="1258" t="e">
        <f t="shared" si="322"/>
        <v>#DIV/0!</v>
      </c>
      <c r="F2462" s="1227"/>
      <c r="G2462" s="1227"/>
      <c r="H2462" s="1258" t="e">
        <f t="shared" si="323"/>
        <v>#DIV/0!</v>
      </c>
      <c r="I2462" s="1216">
        <f t="shared" si="326"/>
        <v>0</v>
      </c>
      <c r="J2462" s="860">
        <f t="shared" si="325"/>
        <v>0</v>
      </c>
      <c r="K2462" s="1217" t="e">
        <f t="shared" si="324"/>
        <v>#DIV/0!</v>
      </c>
      <c r="L2462" s="711"/>
      <c r="M2462" s="711"/>
    </row>
    <row r="2463" spans="1:13" ht="24.95" customHeight="1">
      <c r="A2463" s="456" t="s">
        <v>3853</v>
      </c>
      <c r="B2463" s="452" t="s">
        <v>2950</v>
      </c>
      <c r="C2463" s="1226"/>
      <c r="D2463" s="1226"/>
      <c r="E2463" s="1258" t="e">
        <f t="shared" si="322"/>
        <v>#DIV/0!</v>
      </c>
      <c r="F2463" s="1227"/>
      <c r="G2463" s="1227"/>
      <c r="H2463" s="1258" t="e">
        <f t="shared" si="323"/>
        <v>#DIV/0!</v>
      </c>
      <c r="I2463" s="1216">
        <f t="shared" si="326"/>
        <v>0</v>
      </c>
      <c r="J2463" s="860">
        <f t="shared" si="325"/>
        <v>0</v>
      </c>
      <c r="K2463" s="1217" t="e">
        <f t="shared" si="324"/>
        <v>#DIV/0!</v>
      </c>
      <c r="L2463" s="711"/>
      <c r="M2463" s="711"/>
    </row>
    <row r="2464" spans="1:13" ht="24.95" customHeight="1">
      <c r="A2464" s="456" t="s">
        <v>3854</v>
      </c>
      <c r="B2464" s="452" t="s">
        <v>5143</v>
      </c>
      <c r="C2464" s="1226"/>
      <c r="D2464" s="1226"/>
      <c r="E2464" s="1258" t="e">
        <f t="shared" si="322"/>
        <v>#DIV/0!</v>
      </c>
      <c r="F2464" s="1227"/>
      <c r="G2464" s="1227"/>
      <c r="H2464" s="1258" t="e">
        <f t="shared" si="323"/>
        <v>#DIV/0!</v>
      </c>
      <c r="I2464" s="1216">
        <f t="shared" si="326"/>
        <v>0</v>
      </c>
      <c r="J2464" s="860">
        <f t="shared" si="325"/>
        <v>0</v>
      </c>
      <c r="K2464" s="1217" t="e">
        <f t="shared" si="324"/>
        <v>#DIV/0!</v>
      </c>
      <c r="L2464" s="711"/>
      <c r="M2464" s="711"/>
    </row>
    <row r="2465" spans="1:13" ht="24.95" customHeight="1">
      <c r="A2465" s="456" t="s">
        <v>3814</v>
      </c>
      <c r="B2465" s="452" t="s">
        <v>3815</v>
      </c>
      <c r="C2465" s="1226"/>
      <c r="D2465" s="1226"/>
      <c r="E2465" s="1258" t="e">
        <f t="shared" si="322"/>
        <v>#DIV/0!</v>
      </c>
      <c r="F2465" s="1227"/>
      <c r="G2465" s="1227"/>
      <c r="H2465" s="1258" t="e">
        <f t="shared" si="323"/>
        <v>#DIV/0!</v>
      </c>
      <c r="I2465" s="1216">
        <f t="shared" si="326"/>
        <v>0</v>
      </c>
      <c r="J2465" s="860">
        <f t="shared" si="325"/>
        <v>0</v>
      </c>
      <c r="K2465" s="1217" t="e">
        <f t="shared" si="324"/>
        <v>#DIV/0!</v>
      </c>
      <c r="L2465" s="711"/>
      <c r="M2465" s="711"/>
    </row>
    <row r="2466" spans="1:13" ht="24.95" customHeight="1">
      <c r="A2466" s="456" t="s">
        <v>5144</v>
      </c>
      <c r="B2466" s="452" t="s">
        <v>5145</v>
      </c>
      <c r="C2466" s="1226"/>
      <c r="D2466" s="1226"/>
      <c r="E2466" s="1258" t="e">
        <f t="shared" si="322"/>
        <v>#DIV/0!</v>
      </c>
      <c r="F2466" s="1227"/>
      <c r="G2466" s="1227"/>
      <c r="H2466" s="1258" t="e">
        <f t="shared" si="323"/>
        <v>#DIV/0!</v>
      </c>
      <c r="I2466" s="1216">
        <f t="shared" si="326"/>
        <v>0</v>
      </c>
      <c r="J2466" s="860">
        <f t="shared" si="325"/>
        <v>0</v>
      </c>
      <c r="K2466" s="1217" t="e">
        <f t="shared" si="324"/>
        <v>#DIV/0!</v>
      </c>
      <c r="L2466" s="711"/>
      <c r="M2466" s="711"/>
    </row>
    <row r="2467" spans="1:13" ht="24.95" customHeight="1">
      <c r="A2467" s="456" t="s">
        <v>3816</v>
      </c>
      <c r="B2467" s="452" t="s">
        <v>3817</v>
      </c>
      <c r="C2467" s="1226">
        <v>1</v>
      </c>
      <c r="D2467" s="1226"/>
      <c r="E2467" s="1258">
        <f t="shared" si="322"/>
        <v>0</v>
      </c>
      <c r="F2467" s="1227"/>
      <c r="G2467" s="1227"/>
      <c r="H2467" s="1258" t="e">
        <f t="shared" si="323"/>
        <v>#DIV/0!</v>
      </c>
      <c r="I2467" s="1216">
        <f t="shared" si="326"/>
        <v>1</v>
      </c>
      <c r="J2467" s="860">
        <f t="shared" si="325"/>
        <v>0</v>
      </c>
      <c r="K2467" s="1217">
        <f t="shared" si="324"/>
        <v>0</v>
      </c>
      <c r="L2467" s="711"/>
      <c r="M2467" s="711"/>
    </row>
    <row r="2468" spans="1:13" ht="24.95" customHeight="1">
      <c r="A2468" s="456" t="s">
        <v>5146</v>
      </c>
      <c r="B2468" s="452" t="s">
        <v>5147</v>
      </c>
      <c r="C2468" s="1226"/>
      <c r="D2468" s="1226"/>
      <c r="E2468" s="1258" t="e">
        <f t="shared" si="322"/>
        <v>#DIV/0!</v>
      </c>
      <c r="F2468" s="1227"/>
      <c r="G2468" s="1227"/>
      <c r="H2468" s="1258" t="e">
        <f t="shared" si="323"/>
        <v>#DIV/0!</v>
      </c>
      <c r="I2468" s="1216">
        <f t="shared" si="326"/>
        <v>0</v>
      </c>
      <c r="J2468" s="860">
        <f t="shared" si="325"/>
        <v>0</v>
      </c>
      <c r="K2468" s="1217" t="e">
        <f t="shared" si="324"/>
        <v>#DIV/0!</v>
      </c>
      <c r="L2468" s="711"/>
      <c r="M2468" s="711"/>
    </row>
    <row r="2469" spans="1:13" ht="24.95" customHeight="1">
      <c r="A2469" s="1235" t="s">
        <v>3736</v>
      </c>
      <c r="B2469" s="1236" t="s">
        <v>3737</v>
      </c>
      <c r="C2469" s="1226">
        <v>1600</v>
      </c>
      <c r="D2469" s="1226">
        <v>744</v>
      </c>
      <c r="E2469" s="1258">
        <f t="shared" si="322"/>
        <v>0.46500000000000002</v>
      </c>
      <c r="F2469" s="1227">
        <v>120</v>
      </c>
      <c r="G2469" s="1227">
        <v>3</v>
      </c>
      <c r="H2469" s="1258">
        <f t="shared" si="323"/>
        <v>2.5000000000000001E-2</v>
      </c>
      <c r="I2469" s="1216">
        <f t="shared" si="326"/>
        <v>1720</v>
      </c>
      <c r="J2469" s="860">
        <f t="shared" si="325"/>
        <v>747</v>
      </c>
      <c r="K2469" s="1217">
        <f t="shared" si="324"/>
        <v>0.43430232558139537</v>
      </c>
      <c r="L2469" s="711"/>
      <c r="M2469" s="711"/>
    </row>
    <row r="2470" spans="1:13" ht="24.95" customHeight="1">
      <c r="A2470" s="1235" t="s">
        <v>5148</v>
      </c>
      <c r="B2470" s="1236" t="s">
        <v>5149</v>
      </c>
      <c r="C2470" s="1226">
        <v>405</v>
      </c>
      <c r="D2470" s="1226">
        <v>260</v>
      </c>
      <c r="E2470" s="1258">
        <f t="shared" si="322"/>
        <v>0.64197530864197527</v>
      </c>
      <c r="F2470" s="1227">
        <v>40</v>
      </c>
      <c r="G2470" s="1227">
        <v>8</v>
      </c>
      <c r="H2470" s="1258">
        <f t="shared" si="323"/>
        <v>0.2</v>
      </c>
      <c r="I2470" s="1216">
        <f t="shared" si="326"/>
        <v>445</v>
      </c>
      <c r="J2470" s="860">
        <f t="shared" si="325"/>
        <v>268</v>
      </c>
      <c r="K2470" s="1217">
        <f t="shared" si="324"/>
        <v>0.60224719101123592</v>
      </c>
      <c r="L2470" s="711"/>
      <c r="M2470" s="711"/>
    </row>
    <row r="2471" spans="1:13" ht="24.95" customHeight="1">
      <c r="A2471" s="1235" t="s">
        <v>5150</v>
      </c>
      <c r="B2471" s="1236" t="s">
        <v>4087</v>
      </c>
      <c r="C2471" s="1226"/>
      <c r="D2471" s="1226"/>
      <c r="E2471" s="1258" t="e">
        <f t="shared" si="322"/>
        <v>#DIV/0!</v>
      </c>
      <c r="F2471" s="1227"/>
      <c r="G2471" s="1227"/>
      <c r="H2471" s="1258" t="e">
        <f t="shared" si="323"/>
        <v>#DIV/0!</v>
      </c>
      <c r="I2471" s="1216">
        <f t="shared" si="326"/>
        <v>0</v>
      </c>
      <c r="J2471" s="860">
        <f t="shared" si="325"/>
        <v>0</v>
      </c>
      <c r="K2471" s="1217" t="e">
        <f t="shared" si="324"/>
        <v>#DIV/0!</v>
      </c>
      <c r="L2471" s="711"/>
      <c r="M2471" s="711"/>
    </row>
    <row r="2472" spans="1:13" ht="24.95" customHeight="1">
      <c r="A2472" s="1235" t="s">
        <v>5151</v>
      </c>
      <c r="B2472" s="1236" t="s">
        <v>5152</v>
      </c>
      <c r="C2472" s="1226"/>
      <c r="D2472" s="1226"/>
      <c r="E2472" s="1258" t="e">
        <f t="shared" si="322"/>
        <v>#DIV/0!</v>
      </c>
      <c r="F2472" s="1227"/>
      <c r="G2472" s="1227"/>
      <c r="H2472" s="1258" t="e">
        <f t="shared" si="323"/>
        <v>#DIV/0!</v>
      </c>
      <c r="I2472" s="1216">
        <f t="shared" si="326"/>
        <v>0</v>
      </c>
      <c r="J2472" s="860">
        <f t="shared" si="325"/>
        <v>0</v>
      </c>
      <c r="K2472" s="1217" t="e">
        <f t="shared" si="324"/>
        <v>#DIV/0!</v>
      </c>
      <c r="L2472" s="711"/>
      <c r="M2472" s="711"/>
    </row>
    <row r="2473" spans="1:13" ht="24.95" customHeight="1">
      <c r="A2473" s="1235" t="s">
        <v>4107</v>
      </c>
      <c r="B2473" s="1236" t="s">
        <v>4108</v>
      </c>
      <c r="C2473" s="1226"/>
      <c r="D2473" s="1226"/>
      <c r="E2473" s="1258" t="e">
        <f t="shared" si="322"/>
        <v>#DIV/0!</v>
      </c>
      <c r="F2473" s="1227"/>
      <c r="G2473" s="1227"/>
      <c r="H2473" s="1258" t="e">
        <f t="shared" si="323"/>
        <v>#DIV/0!</v>
      </c>
      <c r="I2473" s="1216">
        <f t="shared" si="326"/>
        <v>0</v>
      </c>
      <c r="J2473" s="860">
        <f t="shared" si="325"/>
        <v>0</v>
      </c>
      <c r="K2473" s="1217" t="e">
        <f t="shared" si="324"/>
        <v>#DIV/0!</v>
      </c>
      <c r="L2473" s="711"/>
      <c r="M2473" s="711"/>
    </row>
    <row r="2474" spans="1:13" ht="24.95" customHeight="1">
      <c r="A2474" s="1235" t="s">
        <v>2615</v>
      </c>
      <c r="B2474" s="1236" t="s">
        <v>3200</v>
      </c>
      <c r="C2474" s="1226"/>
      <c r="D2474" s="1226"/>
      <c r="E2474" s="1258" t="e">
        <f t="shared" si="322"/>
        <v>#DIV/0!</v>
      </c>
      <c r="F2474" s="1227">
        <v>305</v>
      </c>
      <c r="G2474" s="1227">
        <v>2644</v>
      </c>
      <c r="H2474" s="1258">
        <f t="shared" si="323"/>
        <v>8.668852459016394</v>
      </c>
      <c r="I2474" s="1216">
        <f t="shared" si="326"/>
        <v>305</v>
      </c>
      <c r="J2474" s="860">
        <f t="shared" si="325"/>
        <v>2644</v>
      </c>
      <c r="K2474" s="1217">
        <f t="shared" si="324"/>
        <v>8.668852459016394</v>
      </c>
      <c r="L2474" s="711"/>
      <c r="M2474" s="711"/>
    </row>
    <row r="2475" spans="1:13" ht="24.95" customHeight="1">
      <c r="A2475" s="1235" t="s">
        <v>2620</v>
      </c>
      <c r="B2475" s="1236" t="s">
        <v>2621</v>
      </c>
      <c r="C2475" s="1226">
        <v>30</v>
      </c>
      <c r="D2475" s="1226">
        <v>14</v>
      </c>
      <c r="E2475" s="1258">
        <f t="shared" si="322"/>
        <v>0.46666666666666667</v>
      </c>
      <c r="F2475" s="1227">
        <v>350</v>
      </c>
      <c r="G2475" s="1227">
        <v>131</v>
      </c>
      <c r="H2475" s="1258">
        <f t="shared" si="323"/>
        <v>0.37428571428571428</v>
      </c>
      <c r="I2475" s="1216">
        <f t="shared" si="326"/>
        <v>380</v>
      </c>
      <c r="J2475" s="860">
        <f t="shared" si="325"/>
        <v>145</v>
      </c>
      <c r="K2475" s="1217">
        <f t="shared" si="324"/>
        <v>0.38157894736842107</v>
      </c>
      <c r="L2475" s="711"/>
      <c r="M2475" s="711"/>
    </row>
    <row r="2476" spans="1:13" ht="24.95" customHeight="1">
      <c r="A2476" s="1235" t="s">
        <v>2329</v>
      </c>
      <c r="B2476" s="1236" t="s">
        <v>2961</v>
      </c>
      <c r="C2476" s="1226"/>
      <c r="D2476" s="1226"/>
      <c r="E2476" s="1258" t="e">
        <f t="shared" si="322"/>
        <v>#DIV/0!</v>
      </c>
      <c r="F2476" s="1227"/>
      <c r="G2476" s="1227"/>
      <c r="H2476" s="1258" t="e">
        <f t="shared" si="323"/>
        <v>#DIV/0!</v>
      </c>
      <c r="I2476" s="1216">
        <f t="shared" si="326"/>
        <v>0</v>
      </c>
      <c r="J2476" s="860">
        <f t="shared" si="325"/>
        <v>0</v>
      </c>
      <c r="K2476" s="1217" t="e">
        <f t="shared" si="324"/>
        <v>#DIV/0!</v>
      </c>
      <c r="L2476" s="711"/>
      <c r="M2476" s="711"/>
    </row>
    <row r="2477" spans="1:13" ht="24.95" customHeight="1">
      <c r="A2477" s="1235" t="s">
        <v>2624</v>
      </c>
      <c r="B2477" s="1233" t="s">
        <v>2330</v>
      </c>
      <c r="C2477" s="1226">
        <v>3</v>
      </c>
      <c r="D2477" s="1226">
        <v>2</v>
      </c>
      <c r="E2477" s="1258">
        <f t="shared" si="322"/>
        <v>0.66666666666666663</v>
      </c>
      <c r="F2477" s="1227">
        <v>4110</v>
      </c>
      <c r="G2477" s="1227">
        <v>2134</v>
      </c>
      <c r="H2477" s="1258">
        <f t="shared" si="323"/>
        <v>0.5192214111922141</v>
      </c>
      <c r="I2477" s="1216">
        <f t="shared" si="326"/>
        <v>4113</v>
      </c>
      <c r="J2477" s="860">
        <f t="shared" si="325"/>
        <v>2136</v>
      </c>
      <c r="K2477" s="1217">
        <f t="shared" si="324"/>
        <v>0.51932895696571846</v>
      </c>
      <c r="L2477" s="711"/>
      <c r="M2477" s="711"/>
    </row>
    <row r="2478" spans="1:13" ht="24.95" customHeight="1">
      <c r="A2478" s="1235" t="s">
        <v>2331</v>
      </c>
      <c r="B2478" s="1236" t="s">
        <v>2332</v>
      </c>
      <c r="C2478" s="1226"/>
      <c r="D2478" s="1226"/>
      <c r="E2478" s="1258" t="e">
        <f t="shared" si="322"/>
        <v>#DIV/0!</v>
      </c>
      <c r="F2478" s="1227"/>
      <c r="G2478" s="1227"/>
      <c r="H2478" s="1258" t="e">
        <f t="shared" si="323"/>
        <v>#DIV/0!</v>
      </c>
      <c r="I2478" s="1216">
        <f t="shared" si="326"/>
        <v>0</v>
      </c>
      <c r="J2478" s="860">
        <f t="shared" si="325"/>
        <v>0</v>
      </c>
      <c r="K2478" s="1217" t="e">
        <f t="shared" si="324"/>
        <v>#DIV/0!</v>
      </c>
      <c r="L2478" s="711"/>
      <c r="M2478" s="711"/>
    </row>
    <row r="2479" spans="1:13" ht="24.95" customHeight="1">
      <c r="A2479" s="1235" t="s">
        <v>2627</v>
      </c>
      <c r="B2479" s="1236" t="s">
        <v>2628</v>
      </c>
      <c r="C2479" s="1226"/>
      <c r="D2479" s="1226"/>
      <c r="E2479" s="1258" t="e">
        <f t="shared" si="322"/>
        <v>#DIV/0!</v>
      </c>
      <c r="F2479" s="1227">
        <v>100</v>
      </c>
      <c r="G2479" s="1227">
        <v>76</v>
      </c>
      <c r="H2479" s="1258">
        <f t="shared" si="323"/>
        <v>0.76</v>
      </c>
      <c r="I2479" s="1216">
        <f t="shared" si="326"/>
        <v>100</v>
      </c>
      <c r="J2479" s="860">
        <f t="shared" si="325"/>
        <v>76</v>
      </c>
      <c r="K2479" s="1217">
        <f t="shared" si="324"/>
        <v>0.76</v>
      </c>
      <c r="L2479" s="711"/>
      <c r="M2479" s="711"/>
    </row>
    <row r="2480" spans="1:13" ht="24.95" customHeight="1">
      <c r="A2480" s="1235" t="s">
        <v>2629</v>
      </c>
      <c r="B2480" s="1236" t="s">
        <v>2630</v>
      </c>
      <c r="C2480" s="1226"/>
      <c r="D2480" s="1226"/>
      <c r="E2480" s="1258" t="e">
        <f t="shared" si="322"/>
        <v>#DIV/0!</v>
      </c>
      <c r="F2480" s="1227">
        <v>1050</v>
      </c>
      <c r="G2480" s="1227">
        <f>401-5</f>
        <v>396</v>
      </c>
      <c r="H2480" s="1258">
        <f t="shared" si="323"/>
        <v>0.37714285714285717</v>
      </c>
      <c r="I2480" s="1216">
        <f t="shared" si="326"/>
        <v>1050</v>
      </c>
      <c r="J2480" s="860">
        <f t="shared" si="325"/>
        <v>396</v>
      </c>
      <c r="K2480" s="1217">
        <f t="shared" si="324"/>
        <v>0.37714285714285717</v>
      </c>
      <c r="L2480" s="711"/>
      <c r="M2480" s="711"/>
    </row>
    <row r="2481" spans="1:13" ht="24.95" customHeight="1">
      <c r="A2481" s="1235" t="s">
        <v>2631</v>
      </c>
      <c r="B2481" s="1236" t="s">
        <v>2632</v>
      </c>
      <c r="C2481" s="1226">
        <v>5</v>
      </c>
      <c r="D2481" s="1226">
        <v>6</v>
      </c>
      <c r="E2481" s="1258">
        <f t="shared" si="322"/>
        <v>1.2</v>
      </c>
      <c r="F2481" s="1227">
        <v>5360</v>
      </c>
      <c r="G2481" s="1227">
        <v>7363</v>
      </c>
      <c r="H2481" s="1258">
        <f t="shared" si="323"/>
        <v>1.3736940298507463</v>
      </c>
      <c r="I2481" s="1216">
        <f t="shared" si="326"/>
        <v>5365</v>
      </c>
      <c r="J2481" s="860">
        <f t="shared" si="325"/>
        <v>7369</v>
      </c>
      <c r="K2481" s="1217">
        <f t="shared" si="324"/>
        <v>1.3735321528424977</v>
      </c>
      <c r="L2481" s="711"/>
      <c r="M2481" s="711"/>
    </row>
    <row r="2482" spans="1:13" ht="24.95" customHeight="1">
      <c r="A2482" s="1235" t="s">
        <v>2178</v>
      </c>
      <c r="B2482" s="1236" t="s">
        <v>2179</v>
      </c>
      <c r="C2482" s="1226">
        <v>15</v>
      </c>
      <c r="D2482" s="1226">
        <v>5</v>
      </c>
      <c r="E2482" s="1258">
        <f t="shared" si="322"/>
        <v>0.33333333333333331</v>
      </c>
      <c r="F2482" s="1227">
        <v>15000</v>
      </c>
      <c r="G2482" s="1227">
        <v>4471</v>
      </c>
      <c r="H2482" s="1258">
        <f t="shared" si="323"/>
        <v>0.29806666666666665</v>
      </c>
      <c r="I2482" s="1216">
        <f t="shared" si="326"/>
        <v>15015</v>
      </c>
      <c r="J2482" s="860">
        <f t="shared" si="325"/>
        <v>4476</v>
      </c>
      <c r="K2482" s="1217">
        <f t="shared" si="324"/>
        <v>0.29810189810189808</v>
      </c>
      <c r="L2482" s="711"/>
      <c r="M2482" s="711"/>
    </row>
    <row r="2483" spans="1:13" ht="24.95" customHeight="1">
      <c r="A2483" s="1235" t="s">
        <v>2963</v>
      </c>
      <c r="B2483" s="1233" t="s">
        <v>5153</v>
      </c>
      <c r="C2483" s="1226"/>
      <c r="D2483" s="1226"/>
      <c r="E2483" s="1258" t="e">
        <f t="shared" si="322"/>
        <v>#DIV/0!</v>
      </c>
      <c r="F2483" s="1227">
        <v>0</v>
      </c>
      <c r="G2483" s="1227"/>
      <c r="H2483" s="1258" t="e">
        <f t="shared" si="323"/>
        <v>#DIV/0!</v>
      </c>
      <c r="I2483" s="1216">
        <f t="shared" si="326"/>
        <v>0</v>
      </c>
      <c r="J2483" s="860">
        <f t="shared" si="325"/>
        <v>0</v>
      </c>
      <c r="K2483" s="1217" t="e">
        <f t="shared" si="324"/>
        <v>#DIV/0!</v>
      </c>
      <c r="L2483" s="711"/>
      <c r="M2483" s="711"/>
    </row>
    <row r="2484" spans="1:13" ht="24.95" customHeight="1">
      <c r="A2484" s="1235" t="s">
        <v>2633</v>
      </c>
      <c r="B2484" s="1233" t="s">
        <v>2965</v>
      </c>
      <c r="C2484" s="1226">
        <v>15</v>
      </c>
      <c r="D2484" s="1226">
        <v>10</v>
      </c>
      <c r="E2484" s="1258">
        <f t="shared" si="322"/>
        <v>0.66666666666666663</v>
      </c>
      <c r="F2484" s="1227">
        <v>6850</v>
      </c>
      <c r="G2484" s="1227">
        <v>3546</v>
      </c>
      <c r="H2484" s="1258">
        <f t="shared" si="323"/>
        <v>0.51766423357664237</v>
      </c>
      <c r="I2484" s="1216">
        <f t="shared" si="326"/>
        <v>6865</v>
      </c>
      <c r="J2484" s="860">
        <f t="shared" si="325"/>
        <v>3556</v>
      </c>
      <c r="K2484" s="1217">
        <f t="shared" si="324"/>
        <v>0.51798980335032774</v>
      </c>
      <c r="L2484" s="711"/>
      <c r="M2484" s="711"/>
    </row>
    <row r="2485" spans="1:13" ht="24.95" customHeight="1">
      <c r="A2485" s="1235" t="s">
        <v>2637</v>
      </c>
      <c r="B2485" s="1236" t="s">
        <v>2638</v>
      </c>
      <c r="C2485" s="1226"/>
      <c r="D2485" s="1226"/>
      <c r="E2485" s="1258" t="e">
        <f t="shared" si="322"/>
        <v>#DIV/0!</v>
      </c>
      <c r="F2485" s="1227">
        <v>225</v>
      </c>
      <c r="G2485" s="1227"/>
      <c r="H2485" s="1258">
        <f t="shared" si="323"/>
        <v>0</v>
      </c>
      <c r="I2485" s="1216">
        <f t="shared" si="326"/>
        <v>225</v>
      </c>
      <c r="J2485" s="860">
        <f t="shared" si="325"/>
        <v>0</v>
      </c>
      <c r="K2485" s="1217">
        <f t="shared" si="324"/>
        <v>0</v>
      </c>
      <c r="L2485" s="711"/>
      <c r="M2485" s="711"/>
    </row>
    <row r="2486" spans="1:13" s="711" customFormat="1" ht="24.95" customHeight="1">
      <c r="A2486" s="1235" t="s">
        <v>2639</v>
      </c>
      <c r="B2486" s="1236" t="s">
        <v>5154</v>
      </c>
      <c r="C2486" s="1252"/>
      <c r="D2486" s="1267"/>
      <c r="E2486" s="1258" t="e">
        <f t="shared" si="322"/>
        <v>#DIV/0!</v>
      </c>
      <c r="F2486" s="1253">
        <v>215</v>
      </c>
      <c r="G2486" s="1253">
        <v>94</v>
      </c>
      <c r="H2486" s="1258">
        <f t="shared" si="323"/>
        <v>0.43720930232558142</v>
      </c>
      <c r="I2486" s="1214">
        <f t="shared" si="326"/>
        <v>215</v>
      </c>
      <c r="J2486" s="860">
        <f t="shared" si="325"/>
        <v>94</v>
      </c>
      <c r="K2486" s="1217">
        <f t="shared" si="324"/>
        <v>0.43720930232558142</v>
      </c>
    </row>
    <row r="2487" spans="1:13" ht="24.95" customHeight="1">
      <c r="A2487" s="1235" t="s">
        <v>2643</v>
      </c>
      <c r="B2487" s="1236" t="s">
        <v>2973</v>
      </c>
      <c r="C2487" s="1226"/>
      <c r="D2487" s="1226"/>
      <c r="E2487" s="1258" t="e">
        <f t="shared" si="322"/>
        <v>#DIV/0!</v>
      </c>
      <c r="F2487" s="1227">
        <v>255</v>
      </c>
      <c r="G2487" s="1227">
        <v>40</v>
      </c>
      <c r="H2487" s="1258">
        <f t="shared" si="323"/>
        <v>0.15686274509803921</v>
      </c>
      <c r="I2487" s="1216">
        <f t="shared" si="326"/>
        <v>255</v>
      </c>
      <c r="J2487" s="860">
        <f t="shared" si="325"/>
        <v>40</v>
      </c>
      <c r="K2487" s="1217">
        <f t="shared" si="324"/>
        <v>0.15686274509803921</v>
      </c>
      <c r="L2487" s="711"/>
      <c r="M2487" s="711"/>
    </row>
    <row r="2488" spans="1:13" ht="24.95" customHeight="1">
      <c r="A2488" s="1235" t="s">
        <v>2976</v>
      </c>
      <c r="B2488" s="1236" t="s">
        <v>2977</v>
      </c>
      <c r="C2488" s="1226"/>
      <c r="D2488" s="1226"/>
      <c r="E2488" s="1258" t="e">
        <f t="shared" si="322"/>
        <v>#DIV/0!</v>
      </c>
      <c r="F2488" s="1227"/>
      <c r="G2488" s="1227"/>
      <c r="H2488" s="1258" t="e">
        <f t="shared" si="323"/>
        <v>#DIV/0!</v>
      </c>
      <c r="I2488" s="1216">
        <f t="shared" si="326"/>
        <v>0</v>
      </c>
      <c r="J2488" s="860">
        <f t="shared" si="325"/>
        <v>0</v>
      </c>
      <c r="K2488" s="1217" t="e">
        <f t="shared" si="324"/>
        <v>#DIV/0!</v>
      </c>
      <c r="L2488" s="711"/>
      <c r="M2488" s="711"/>
    </row>
    <row r="2489" spans="1:13" ht="24.95" customHeight="1">
      <c r="A2489" s="1235" t="s">
        <v>3049</v>
      </c>
      <c r="B2489" s="1236" t="s">
        <v>3050</v>
      </c>
      <c r="C2489" s="1226"/>
      <c r="D2489" s="1226"/>
      <c r="E2489" s="1258" t="e">
        <f t="shared" si="322"/>
        <v>#DIV/0!</v>
      </c>
      <c r="F2489" s="1227"/>
      <c r="G2489" s="1227"/>
      <c r="H2489" s="1258" t="e">
        <f t="shared" si="323"/>
        <v>#DIV/0!</v>
      </c>
      <c r="I2489" s="1216">
        <f t="shared" si="326"/>
        <v>0</v>
      </c>
      <c r="J2489" s="860">
        <f t="shared" si="325"/>
        <v>0</v>
      </c>
      <c r="K2489" s="1217" t="e">
        <f t="shared" si="324"/>
        <v>#DIV/0!</v>
      </c>
      <c r="L2489" s="711"/>
      <c r="M2489" s="711"/>
    </row>
    <row r="2490" spans="1:13" ht="24.95" customHeight="1">
      <c r="A2490" s="1235" t="s">
        <v>2645</v>
      </c>
      <c r="B2490" s="1236" t="s">
        <v>2646</v>
      </c>
      <c r="C2490" s="1226">
        <v>2</v>
      </c>
      <c r="D2490" s="1226"/>
      <c r="E2490" s="1258">
        <f t="shared" si="322"/>
        <v>0</v>
      </c>
      <c r="F2490" s="1227">
        <v>16050</v>
      </c>
      <c r="G2490" s="1227">
        <v>8500</v>
      </c>
      <c r="H2490" s="1258">
        <f t="shared" si="323"/>
        <v>0.52959501557632394</v>
      </c>
      <c r="I2490" s="1216">
        <f t="shared" si="326"/>
        <v>16052</v>
      </c>
      <c r="J2490" s="860">
        <f t="shared" si="325"/>
        <v>8500</v>
      </c>
      <c r="K2490" s="1217">
        <f t="shared" si="324"/>
        <v>0.52952903065038626</v>
      </c>
      <c r="L2490" s="711"/>
      <c r="M2490" s="711"/>
    </row>
    <row r="2491" spans="1:13" ht="24.95" customHeight="1">
      <c r="A2491" s="1268" t="s">
        <v>2969</v>
      </c>
      <c r="B2491" s="1236" t="s">
        <v>5155</v>
      </c>
      <c r="C2491" s="1226"/>
      <c r="D2491" s="1226"/>
      <c r="E2491" s="1258" t="e">
        <f t="shared" si="322"/>
        <v>#DIV/0!</v>
      </c>
      <c r="F2491" s="1227">
        <v>10</v>
      </c>
      <c r="G2491" s="1227"/>
      <c r="H2491" s="1258">
        <f t="shared" si="323"/>
        <v>0</v>
      </c>
      <c r="I2491" s="1216">
        <f t="shared" si="326"/>
        <v>10</v>
      </c>
      <c r="J2491" s="860">
        <f t="shared" si="325"/>
        <v>0</v>
      </c>
      <c r="K2491" s="1217">
        <f t="shared" si="324"/>
        <v>0</v>
      </c>
      <c r="L2491" s="711"/>
      <c r="M2491" s="711"/>
    </row>
    <row r="2492" spans="1:13" ht="24.95" customHeight="1">
      <c r="A2492" s="1268" t="s">
        <v>3974</v>
      </c>
      <c r="B2492" s="1236" t="s">
        <v>3975</v>
      </c>
      <c r="C2492" s="1226"/>
      <c r="D2492" s="1226"/>
      <c r="E2492" s="1258" t="e">
        <f t="shared" si="322"/>
        <v>#DIV/0!</v>
      </c>
      <c r="F2492" s="1227"/>
      <c r="G2492" s="1227"/>
      <c r="H2492" s="1258" t="e">
        <f t="shared" si="323"/>
        <v>#DIV/0!</v>
      </c>
      <c r="I2492" s="1216">
        <f t="shared" si="326"/>
        <v>0</v>
      </c>
      <c r="J2492" s="860">
        <f t="shared" si="325"/>
        <v>0</v>
      </c>
      <c r="K2492" s="1217" t="e">
        <f t="shared" si="324"/>
        <v>#DIV/0!</v>
      </c>
      <c r="L2492" s="711"/>
      <c r="M2492" s="711"/>
    </row>
    <row r="2493" spans="1:13" ht="24.95" customHeight="1">
      <c r="A2493" s="1248" t="s">
        <v>5156</v>
      </c>
      <c r="B2493" s="1249" t="s">
        <v>5157</v>
      </c>
      <c r="C2493" s="1226"/>
      <c r="D2493" s="1226"/>
      <c r="E2493" s="1258" t="e">
        <f t="shared" si="322"/>
        <v>#DIV/0!</v>
      </c>
      <c r="F2493" s="1227"/>
      <c r="G2493" s="1227"/>
      <c r="H2493" s="1258" t="e">
        <f t="shared" si="323"/>
        <v>#DIV/0!</v>
      </c>
      <c r="I2493" s="1216">
        <f t="shared" si="326"/>
        <v>0</v>
      </c>
      <c r="J2493" s="860">
        <f t="shared" si="325"/>
        <v>0</v>
      </c>
      <c r="K2493" s="1217" t="e">
        <f t="shared" si="324"/>
        <v>#DIV/0!</v>
      </c>
      <c r="L2493" s="711"/>
      <c r="M2493" s="711"/>
    </row>
    <row r="2494" spans="1:13" ht="24.95" customHeight="1">
      <c r="A2494" s="1221" t="s">
        <v>3581</v>
      </c>
      <c r="B2494" s="1246" t="s">
        <v>3582</v>
      </c>
      <c r="C2494" s="1226"/>
      <c r="D2494" s="1226"/>
      <c r="E2494" s="1258" t="e">
        <f t="shared" si="322"/>
        <v>#DIV/0!</v>
      </c>
      <c r="F2494" s="1227"/>
      <c r="G2494" s="1227"/>
      <c r="H2494" s="1258" t="e">
        <f t="shared" si="323"/>
        <v>#DIV/0!</v>
      </c>
      <c r="I2494" s="1216">
        <f t="shared" si="326"/>
        <v>0</v>
      </c>
      <c r="J2494" s="860">
        <f t="shared" si="325"/>
        <v>0</v>
      </c>
      <c r="K2494" s="1217" t="e">
        <f t="shared" si="324"/>
        <v>#DIV/0!</v>
      </c>
      <c r="L2494" s="711"/>
      <c r="M2494" s="711"/>
    </row>
    <row r="2495" spans="1:13" ht="24.95" customHeight="1">
      <c r="A2495" s="1221" t="s">
        <v>4884</v>
      </c>
      <c r="B2495" s="1246" t="s">
        <v>4885</v>
      </c>
      <c r="C2495" s="1226"/>
      <c r="D2495" s="1226"/>
      <c r="E2495" s="1258" t="e">
        <f t="shared" si="322"/>
        <v>#DIV/0!</v>
      </c>
      <c r="F2495" s="1227"/>
      <c r="G2495" s="1227"/>
      <c r="H2495" s="1258" t="e">
        <f t="shared" si="323"/>
        <v>#DIV/0!</v>
      </c>
      <c r="I2495" s="1216">
        <f t="shared" si="326"/>
        <v>0</v>
      </c>
      <c r="J2495" s="860">
        <f t="shared" si="325"/>
        <v>0</v>
      </c>
      <c r="K2495" s="1217" t="e">
        <f t="shared" si="324"/>
        <v>#DIV/0!</v>
      </c>
      <c r="L2495" s="711"/>
      <c r="M2495" s="711"/>
    </row>
    <row r="2496" spans="1:13" ht="24.95" customHeight="1">
      <c r="A2496" s="1234" t="s">
        <v>5158</v>
      </c>
      <c r="B2496" s="1237" t="s">
        <v>5159</v>
      </c>
      <c r="C2496" s="1226"/>
      <c r="D2496" s="1226"/>
      <c r="E2496" s="1258" t="e">
        <f t="shared" si="322"/>
        <v>#DIV/0!</v>
      </c>
      <c r="F2496" s="1227">
        <v>1</v>
      </c>
      <c r="G2496" s="1227"/>
      <c r="H2496" s="1258">
        <f t="shared" si="323"/>
        <v>0</v>
      </c>
      <c r="I2496" s="1216">
        <f t="shared" si="326"/>
        <v>1</v>
      </c>
      <c r="J2496" s="860">
        <f t="shared" si="325"/>
        <v>0</v>
      </c>
      <c r="K2496" s="1217">
        <f t="shared" si="324"/>
        <v>0</v>
      </c>
      <c r="L2496" s="711"/>
      <c r="M2496" s="711"/>
    </row>
    <row r="2497" spans="1:13" ht="24.95" customHeight="1">
      <c r="A2497" s="1269" t="s">
        <v>5160</v>
      </c>
      <c r="B2497" s="1270" t="s">
        <v>5161</v>
      </c>
      <c r="C2497" s="1226"/>
      <c r="D2497" s="1226"/>
      <c r="E2497" s="1258" t="e">
        <f t="shared" si="322"/>
        <v>#DIV/0!</v>
      </c>
      <c r="F2497" s="1227"/>
      <c r="G2497" s="1227"/>
      <c r="H2497" s="1258" t="e">
        <f t="shared" si="323"/>
        <v>#DIV/0!</v>
      </c>
      <c r="I2497" s="1216">
        <f t="shared" si="326"/>
        <v>0</v>
      </c>
      <c r="J2497" s="860">
        <f t="shared" si="325"/>
        <v>0</v>
      </c>
      <c r="K2497" s="1217" t="e">
        <f t="shared" si="324"/>
        <v>#DIV/0!</v>
      </c>
      <c r="L2497" s="711"/>
      <c r="M2497" s="711"/>
    </row>
    <row r="2498" spans="1:13" ht="24.95" customHeight="1">
      <c r="A2498" s="1248" t="s">
        <v>2894</v>
      </c>
      <c r="B2498" s="1249" t="s">
        <v>2895</v>
      </c>
      <c r="C2498" s="1226">
        <v>2</v>
      </c>
      <c r="D2498" s="1226"/>
      <c r="E2498" s="1258">
        <f t="shared" si="322"/>
        <v>0</v>
      </c>
      <c r="F2498" s="1227"/>
      <c r="G2498" s="1227"/>
      <c r="H2498" s="1258" t="e">
        <f t="shared" si="323"/>
        <v>#DIV/0!</v>
      </c>
      <c r="I2498" s="1216">
        <f t="shared" si="326"/>
        <v>2</v>
      </c>
      <c r="J2498" s="860">
        <f t="shared" si="325"/>
        <v>0</v>
      </c>
      <c r="K2498" s="1217">
        <f t="shared" si="324"/>
        <v>0</v>
      </c>
      <c r="L2498" s="711"/>
      <c r="M2498" s="711"/>
    </row>
    <row r="2499" spans="1:13" ht="24.95" customHeight="1">
      <c r="A2499" s="456" t="s">
        <v>3194</v>
      </c>
      <c r="B2499" s="1271" t="s">
        <v>2482</v>
      </c>
      <c r="C2499" s="1226">
        <v>5</v>
      </c>
      <c r="D2499" s="1226"/>
      <c r="E2499" s="1258">
        <f t="shared" si="322"/>
        <v>0</v>
      </c>
      <c r="F2499" s="1227">
        <v>85</v>
      </c>
      <c r="G2499" s="1227">
        <v>30</v>
      </c>
      <c r="H2499" s="1258">
        <f t="shared" si="323"/>
        <v>0.35294117647058826</v>
      </c>
      <c r="I2499" s="1216">
        <f t="shared" si="326"/>
        <v>90</v>
      </c>
      <c r="J2499" s="860">
        <f t="shared" si="325"/>
        <v>30</v>
      </c>
      <c r="K2499" s="1217">
        <f t="shared" si="324"/>
        <v>0.33333333333333331</v>
      </c>
      <c r="L2499" s="711"/>
      <c r="M2499" s="711"/>
    </row>
    <row r="2500" spans="1:13" ht="24.95" customHeight="1">
      <c r="A2500" s="1234" t="s">
        <v>3736</v>
      </c>
      <c r="B2500" s="1237" t="s">
        <v>3737</v>
      </c>
      <c r="C2500" s="1226"/>
      <c r="D2500" s="1226"/>
      <c r="E2500" s="1258" t="e">
        <f t="shared" si="322"/>
        <v>#DIV/0!</v>
      </c>
      <c r="F2500" s="1227"/>
      <c r="G2500" s="1227"/>
      <c r="H2500" s="1258" t="e">
        <f t="shared" si="323"/>
        <v>#DIV/0!</v>
      </c>
      <c r="I2500" s="1216">
        <f t="shared" si="326"/>
        <v>0</v>
      </c>
      <c r="J2500" s="860">
        <f t="shared" si="325"/>
        <v>0</v>
      </c>
      <c r="K2500" s="1217" t="e">
        <f t="shared" si="324"/>
        <v>#DIV/0!</v>
      </c>
      <c r="L2500" s="711"/>
      <c r="M2500" s="711"/>
    </row>
    <row r="2501" spans="1:13" ht="24.95" customHeight="1">
      <c r="A2501" s="456" t="s">
        <v>2667</v>
      </c>
      <c r="B2501" s="452" t="s">
        <v>5162</v>
      </c>
      <c r="C2501" s="1226">
        <v>10</v>
      </c>
      <c r="D2501" s="1226">
        <v>3</v>
      </c>
      <c r="E2501" s="1258">
        <f t="shared" ref="E2501:E2503" si="327">+D2501/C2501</f>
        <v>0.3</v>
      </c>
      <c r="F2501" s="1227">
        <v>250</v>
      </c>
      <c r="G2501" s="1227">
        <v>81</v>
      </c>
      <c r="H2501" s="1258">
        <f t="shared" ref="H2501:H2503" si="328">+G2501/F2501</f>
        <v>0.32400000000000001</v>
      </c>
      <c r="I2501" s="1216">
        <f t="shared" si="326"/>
        <v>260</v>
      </c>
      <c r="J2501" s="860">
        <f t="shared" si="325"/>
        <v>84</v>
      </c>
      <c r="K2501" s="1217">
        <f t="shared" ref="K2501:K2503" si="329">+J2501/I2501</f>
        <v>0.32307692307692309</v>
      </c>
      <c r="L2501" s="711"/>
      <c r="M2501" s="711"/>
    </row>
    <row r="2502" spans="1:13" ht="24.95" customHeight="1">
      <c r="A2502" s="456" t="s">
        <v>2669</v>
      </c>
      <c r="B2502" s="452" t="s">
        <v>5163</v>
      </c>
      <c r="C2502" s="1226"/>
      <c r="D2502" s="1226"/>
      <c r="E2502" s="1258" t="e">
        <f t="shared" si="327"/>
        <v>#DIV/0!</v>
      </c>
      <c r="F2502" s="1227">
        <v>5</v>
      </c>
      <c r="G2502" s="1227"/>
      <c r="H2502" s="1258">
        <f t="shared" si="328"/>
        <v>0</v>
      </c>
      <c r="I2502" s="1216"/>
      <c r="J2502" s="860">
        <f t="shared" si="325"/>
        <v>0</v>
      </c>
      <c r="K2502" s="1217" t="e">
        <f t="shared" si="329"/>
        <v>#DIV/0!</v>
      </c>
      <c r="L2502" s="711"/>
      <c r="M2502" s="711"/>
    </row>
    <row r="2503" spans="1:13" ht="24.95" customHeight="1">
      <c r="A2503" s="1240"/>
      <c r="B2503" s="1272" t="s">
        <v>2</v>
      </c>
      <c r="C2503" s="1273">
        <f t="shared" ref="C2503:G2503" si="330">SUM(C2308:C2501)</f>
        <v>6843</v>
      </c>
      <c r="D2503" s="1273">
        <f t="shared" si="330"/>
        <v>3429</v>
      </c>
      <c r="E2503" s="1258">
        <f t="shared" si="327"/>
        <v>0.50109601052170105</v>
      </c>
      <c r="F2503" s="1273">
        <f t="shared" si="330"/>
        <v>73541</v>
      </c>
      <c r="G2503" s="1273">
        <f t="shared" si="330"/>
        <v>40160</v>
      </c>
      <c r="H2503" s="1258">
        <f t="shared" si="328"/>
        <v>0.54608993622605073</v>
      </c>
      <c r="I2503" s="1274">
        <f>SUM(I2309:I2501)</f>
        <v>80363</v>
      </c>
      <c r="J2503" s="1274">
        <f>SUM(J2309:J2501)</f>
        <v>43589</v>
      </c>
      <c r="K2503" s="1217">
        <f t="shared" si="329"/>
        <v>0.54240135385687438</v>
      </c>
      <c r="L2503" s="711"/>
      <c r="M2503" s="711"/>
    </row>
    <row r="2504" spans="1:13" ht="24.95" customHeight="1">
      <c r="A2504" s="1240"/>
      <c r="B2504" s="1275" t="s">
        <v>5164</v>
      </c>
      <c r="C2504" s="2048"/>
      <c r="D2504" s="2049"/>
      <c r="E2504" s="2049"/>
      <c r="F2504" s="2049"/>
      <c r="G2504" s="2049"/>
      <c r="H2504" s="2049"/>
      <c r="I2504" s="2049"/>
      <c r="J2504" s="2049"/>
      <c r="K2504" s="2050"/>
      <c r="L2504" s="711"/>
      <c r="M2504" s="711"/>
    </row>
    <row r="2505" spans="1:13" ht="24.95" customHeight="1">
      <c r="A2505" s="1276" t="s">
        <v>5165</v>
      </c>
      <c r="B2505" s="1277" t="s">
        <v>5166</v>
      </c>
      <c r="C2505" s="1226">
        <v>0</v>
      </c>
      <c r="D2505" s="1226"/>
      <c r="E2505" s="1278" t="e">
        <f>+D2505/C2505</f>
        <v>#DIV/0!</v>
      </c>
      <c r="F2505" s="1227">
        <v>0</v>
      </c>
      <c r="G2505" s="1279"/>
      <c r="H2505" s="1280" t="e">
        <f>+G2505/F2505</f>
        <v>#DIV/0!</v>
      </c>
      <c r="I2505" s="1214">
        <f t="shared" ref="I2505:J2538" si="331">+C2505+F2505</f>
        <v>0</v>
      </c>
      <c r="J2505" s="860">
        <f>+D2505+G2505</f>
        <v>0</v>
      </c>
      <c r="K2505" s="1217" t="e">
        <f>+J2505/I2505</f>
        <v>#DIV/0!</v>
      </c>
      <c r="L2505" s="711"/>
      <c r="M2505" s="711"/>
    </row>
    <row r="2506" spans="1:13" ht="24.95" customHeight="1">
      <c r="A2506" s="1276" t="s">
        <v>3505</v>
      </c>
      <c r="B2506" s="1281" t="s">
        <v>5167</v>
      </c>
      <c r="C2506" s="1226">
        <v>20</v>
      </c>
      <c r="D2506" s="1226">
        <v>1</v>
      </c>
      <c r="E2506" s="1278">
        <f t="shared" ref="E2506:E2569" si="332">+D2506/C2506</f>
        <v>0.05</v>
      </c>
      <c r="F2506" s="1282"/>
      <c r="G2506" s="1283"/>
      <c r="H2506" s="1280" t="e">
        <f t="shared" ref="H2506:H2569" si="333">+G2506/F2506</f>
        <v>#DIV/0!</v>
      </c>
      <c r="I2506" s="1214">
        <f t="shared" si="331"/>
        <v>20</v>
      </c>
      <c r="J2506" s="860">
        <f t="shared" si="331"/>
        <v>1</v>
      </c>
      <c r="K2506" s="1217">
        <f t="shared" ref="K2506:K2569" si="334">+J2506/I2506</f>
        <v>0.05</v>
      </c>
      <c r="L2506" s="711"/>
      <c r="M2506" s="711"/>
    </row>
    <row r="2507" spans="1:13" ht="24.95" customHeight="1">
      <c r="A2507" s="1276" t="s">
        <v>3013</v>
      </c>
      <c r="B2507" s="1277" t="s">
        <v>2388</v>
      </c>
      <c r="C2507" s="1226"/>
      <c r="D2507" s="1226"/>
      <c r="E2507" s="1278" t="e">
        <f t="shared" si="332"/>
        <v>#DIV/0!</v>
      </c>
      <c r="F2507" s="1282">
        <v>2</v>
      </c>
      <c r="G2507" s="1283"/>
      <c r="H2507" s="1280">
        <f t="shared" si="333"/>
        <v>0</v>
      </c>
      <c r="I2507" s="1214">
        <f t="shared" si="331"/>
        <v>2</v>
      </c>
      <c r="J2507" s="860">
        <f t="shared" si="331"/>
        <v>0</v>
      </c>
      <c r="K2507" s="1217">
        <f t="shared" si="334"/>
        <v>0</v>
      </c>
      <c r="L2507" s="711"/>
      <c r="M2507" s="711"/>
    </row>
    <row r="2508" spans="1:13" ht="24.95" customHeight="1">
      <c r="A2508" s="456">
        <v>130207</v>
      </c>
      <c r="B2508" s="1260" t="s">
        <v>2390</v>
      </c>
      <c r="C2508" s="1226">
        <v>10</v>
      </c>
      <c r="D2508" s="1226">
        <v>4</v>
      </c>
      <c r="E2508" s="1278">
        <f t="shared" si="332"/>
        <v>0.4</v>
      </c>
      <c r="F2508" s="1227"/>
      <c r="G2508" s="1279"/>
      <c r="H2508" s="1280" t="e">
        <f t="shared" si="333"/>
        <v>#DIV/0!</v>
      </c>
      <c r="I2508" s="1214">
        <f t="shared" si="331"/>
        <v>10</v>
      </c>
      <c r="J2508" s="860">
        <f t="shared" si="331"/>
        <v>4</v>
      </c>
      <c r="K2508" s="1217">
        <f t="shared" si="334"/>
        <v>0.4</v>
      </c>
      <c r="L2508" s="711"/>
      <c r="M2508" s="711"/>
    </row>
    <row r="2509" spans="1:13" ht="24.95" customHeight="1">
      <c r="A2509" s="456" t="s">
        <v>3179</v>
      </c>
      <c r="B2509" s="1260" t="s">
        <v>2396</v>
      </c>
      <c r="C2509" s="1226"/>
      <c r="D2509" s="1226"/>
      <c r="E2509" s="1278" t="e">
        <f t="shared" si="332"/>
        <v>#DIV/0!</v>
      </c>
      <c r="F2509" s="1227">
        <v>3</v>
      </c>
      <c r="G2509" s="1279">
        <v>1</v>
      </c>
      <c r="H2509" s="1280">
        <f t="shared" si="333"/>
        <v>0.33333333333333331</v>
      </c>
      <c r="I2509" s="1214">
        <f t="shared" si="331"/>
        <v>3</v>
      </c>
      <c r="J2509" s="860">
        <f t="shared" si="331"/>
        <v>1</v>
      </c>
      <c r="K2509" s="1217">
        <f t="shared" si="334"/>
        <v>0.33333333333333331</v>
      </c>
      <c r="L2509" s="711"/>
      <c r="M2509" s="711"/>
    </row>
    <row r="2510" spans="1:13" ht="24.95" customHeight="1">
      <c r="A2510" s="456" t="s">
        <v>2401</v>
      </c>
      <c r="B2510" s="1246" t="s">
        <v>2402</v>
      </c>
      <c r="C2510" s="1226"/>
      <c r="D2510" s="1226"/>
      <c r="E2510" s="1278" t="e">
        <f t="shared" si="332"/>
        <v>#DIV/0!</v>
      </c>
      <c r="F2510" s="1227">
        <v>5</v>
      </c>
      <c r="G2510" s="1279">
        <v>4</v>
      </c>
      <c r="H2510" s="1280">
        <f t="shared" si="333"/>
        <v>0.8</v>
      </c>
      <c r="I2510" s="1214">
        <f t="shared" si="331"/>
        <v>5</v>
      </c>
      <c r="J2510" s="860">
        <f t="shared" si="331"/>
        <v>4</v>
      </c>
      <c r="K2510" s="1217">
        <f t="shared" si="334"/>
        <v>0.8</v>
      </c>
      <c r="L2510" s="711"/>
      <c r="M2510" s="711"/>
    </row>
    <row r="2511" spans="1:13" ht="24.95" customHeight="1">
      <c r="A2511" s="456" t="s">
        <v>2805</v>
      </c>
      <c r="B2511" s="452" t="s">
        <v>3547</v>
      </c>
      <c r="C2511" s="1226"/>
      <c r="D2511" s="1226"/>
      <c r="E2511" s="1278" t="e">
        <f t="shared" si="332"/>
        <v>#DIV/0!</v>
      </c>
      <c r="F2511" s="1227">
        <v>1</v>
      </c>
      <c r="G2511" s="1279">
        <v>1</v>
      </c>
      <c r="H2511" s="1280">
        <f t="shared" si="333"/>
        <v>1</v>
      </c>
      <c r="I2511" s="1214">
        <f t="shared" si="331"/>
        <v>1</v>
      </c>
      <c r="J2511" s="860">
        <f t="shared" si="331"/>
        <v>1</v>
      </c>
      <c r="K2511" s="1217">
        <f t="shared" si="334"/>
        <v>1</v>
      </c>
      <c r="L2511" s="711"/>
      <c r="M2511" s="711"/>
    </row>
    <row r="2512" spans="1:13" ht="24.95" customHeight="1">
      <c r="A2512" s="448" t="s">
        <v>3117</v>
      </c>
      <c r="B2512" s="1261" t="s">
        <v>3118</v>
      </c>
      <c r="C2512" s="1226"/>
      <c r="D2512" s="1226"/>
      <c r="E2512" s="1278" t="e">
        <f t="shared" si="332"/>
        <v>#DIV/0!</v>
      </c>
      <c r="F2512" s="1227">
        <v>2</v>
      </c>
      <c r="G2512" s="1279">
        <v>2</v>
      </c>
      <c r="H2512" s="1280">
        <f t="shared" si="333"/>
        <v>1</v>
      </c>
      <c r="I2512" s="1214">
        <f t="shared" si="331"/>
        <v>2</v>
      </c>
      <c r="J2512" s="860">
        <f t="shared" si="331"/>
        <v>2</v>
      </c>
      <c r="K2512" s="1217">
        <f t="shared" si="334"/>
        <v>1</v>
      </c>
      <c r="L2512" s="711"/>
      <c r="M2512" s="711"/>
    </row>
    <row r="2513" spans="1:13" ht="24.95" customHeight="1">
      <c r="A2513" s="1262" t="s">
        <v>3959</v>
      </c>
      <c r="B2513" s="1263" t="s">
        <v>3960</v>
      </c>
      <c r="C2513" s="1226"/>
      <c r="D2513" s="1226"/>
      <c r="E2513" s="1278" t="e">
        <f t="shared" si="332"/>
        <v>#DIV/0!</v>
      </c>
      <c r="F2513" s="1227">
        <v>10</v>
      </c>
      <c r="G2513" s="1279"/>
      <c r="H2513" s="1280">
        <f t="shared" si="333"/>
        <v>0</v>
      </c>
      <c r="I2513" s="1214">
        <f t="shared" si="331"/>
        <v>10</v>
      </c>
      <c r="J2513" s="860">
        <f t="shared" si="331"/>
        <v>0</v>
      </c>
      <c r="K2513" s="1217">
        <f t="shared" si="334"/>
        <v>0</v>
      </c>
      <c r="L2513" s="711"/>
      <c r="M2513" s="711"/>
    </row>
    <row r="2514" spans="1:13" s="711" customFormat="1" ht="24.95" customHeight="1">
      <c r="A2514" s="1264" t="s">
        <v>2808</v>
      </c>
      <c r="B2514" s="1265" t="s">
        <v>4908</v>
      </c>
      <c r="C2514" s="1252"/>
      <c r="D2514" s="1252">
        <v>3</v>
      </c>
      <c r="E2514" s="1278" t="e">
        <f t="shared" si="332"/>
        <v>#DIV/0!</v>
      </c>
      <c r="F2514" s="1253">
        <v>2</v>
      </c>
      <c r="G2514" s="1284">
        <v>7</v>
      </c>
      <c r="H2514" s="1280">
        <f t="shared" si="333"/>
        <v>3.5</v>
      </c>
      <c r="I2514" s="1214">
        <f t="shared" si="331"/>
        <v>2</v>
      </c>
      <c r="J2514" s="860">
        <f t="shared" si="331"/>
        <v>10</v>
      </c>
      <c r="K2514" s="1217">
        <f t="shared" si="334"/>
        <v>5</v>
      </c>
    </row>
    <row r="2515" spans="1:13" ht="24.95" customHeight="1">
      <c r="A2515" s="1262" t="s">
        <v>2812</v>
      </c>
      <c r="B2515" s="1266" t="s">
        <v>3020</v>
      </c>
      <c r="C2515" s="1226"/>
      <c r="D2515" s="1226"/>
      <c r="E2515" s="1278" t="e">
        <f t="shared" si="332"/>
        <v>#DIV/0!</v>
      </c>
      <c r="F2515" s="1227">
        <v>10</v>
      </c>
      <c r="G2515" s="1279"/>
      <c r="H2515" s="1280">
        <f t="shared" si="333"/>
        <v>0</v>
      </c>
      <c r="I2515" s="1214">
        <f t="shared" si="331"/>
        <v>10</v>
      </c>
      <c r="J2515" s="860">
        <f t="shared" si="331"/>
        <v>0</v>
      </c>
      <c r="K2515" s="1217">
        <f t="shared" si="334"/>
        <v>0</v>
      </c>
      <c r="L2515" s="711"/>
      <c r="M2515" s="711"/>
    </row>
    <row r="2516" spans="1:13" ht="24.95" customHeight="1">
      <c r="A2516" s="1218" t="s">
        <v>2419</v>
      </c>
      <c r="B2516" s="1247" t="s">
        <v>4114</v>
      </c>
      <c r="C2516" s="1226">
        <v>720</v>
      </c>
      <c r="D2516" s="1226">
        <v>211</v>
      </c>
      <c r="E2516" s="1278">
        <f t="shared" si="332"/>
        <v>0.29305555555555557</v>
      </c>
      <c r="F2516" s="1227">
        <v>70</v>
      </c>
      <c r="G2516" s="1279">
        <v>7</v>
      </c>
      <c r="H2516" s="1280">
        <f t="shared" si="333"/>
        <v>0.1</v>
      </c>
      <c r="I2516" s="1214">
        <f t="shared" si="331"/>
        <v>790</v>
      </c>
      <c r="J2516" s="860">
        <f t="shared" si="331"/>
        <v>218</v>
      </c>
      <c r="K2516" s="1217">
        <f t="shared" si="334"/>
        <v>0.27594936708860762</v>
      </c>
      <c r="L2516" s="711"/>
      <c r="M2516" s="711"/>
    </row>
    <row r="2517" spans="1:13" ht="24.95" customHeight="1">
      <c r="A2517" s="1221" t="s">
        <v>2421</v>
      </c>
      <c r="B2517" s="1246" t="s">
        <v>2422</v>
      </c>
      <c r="C2517" s="1226"/>
      <c r="D2517" s="1226"/>
      <c r="E2517" s="1278" t="e">
        <f t="shared" si="332"/>
        <v>#DIV/0!</v>
      </c>
      <c r="F2517" s="1227">
        <v>1</v>
      </c>
      <c r="G2517" s="1285"/>
      <c r="H2517" s="1280">
        <f t="shared" si="333"/>
        <v>0</v>
      </c>
      <c r="I2517" s="1214">
        <f t="shared" si="331"/>
        <v>1</v>
      </c>
      <c r="J2517" s="860">
        <f t="shared" si="331"/>
        <v>0</v>
      </c>
      <c r="K2517" s="1217">
        <f t="shared" si="334"/>
        <v>0</v>
      </c>
      <c r="L2517" s="711"/>
      <c r="M2517" s="711"/>
    </row>
    <row r="2518" spans="1:13" ht="24.95" customHeight="1">
      <c r="A2518" s="1218" t="s">
        <v>5168</v>
      </c>
      <c r="B2518" s="1247" t="s">
        <v>5169</v>
      </c>
      <c r="C2518" s="1226">
        <v>20</v>
      </c>
      <c r="D2518" s="1226">
        <v>4</v>
      </c>
      <c r="E2518" s="1278">
        <f t="shared" si="332"/>
        <v>0.2</v>
      </c>
      <c r="F2518" s="1227">
        <v>2</v>
      </c>
      <c r="G2518" s="1279">
        <v>1</v>
      </c>
      <c r="H2518" s="1280">
        <f t="shared" si="333"/>
        <v>0.5</v>
      </c>
      <c r="I2518" s="1214">
        <f t="shared" si="331"/>
        <v>22</v>
      </c>
      <c r="J2518" s="860">
        <f t="shared" si="331"/>
        <v>5</v>
      </c>
      <c r="K2518" s="1217">
        <f t="shared" si="334"/>
        <v>0.22727272727272727</v>
      </c>
      <c r="L2518" s="711"/>
      <c r="M2518" s="711"/>
    </row>
    <row r="2519" spans="1:13" ht="24.95" customHeight="1">
      <c r="A2519" s="1223" t="s">
        <v>5170</v>
      </c>
      <c r="B2519" s="1286" t="s">
        <v>5171</v>
      </c>
      <c r="C2519" s="1226">
        <v>25</v>
      </c>
      <c r="D2519" s="1226">
        <v>9</v>
      </c>
      <c r="E2519" s="1278">
        <f t="shared" si="332"/>
        <v>0.36</v>
      </c>
      <c r="F2519" s="1227">
        <v>15</v>
      </c>
      <c r="G2519" s="1279">
        <v>8</v>
      </c>
      <c r="H2519" s="1280">
        <f t="shared" si="333"/>
        <v>0.53333333333333333</v>
      </c>
      <c r="I2519" s="1214">
        <f t="shared" si="331"/>
        <v>40</v>
      </c>
      <c r="J2519" s="860">
        <f t="shared" si="331"/>
        <v>17</v>
      </c>
      <c r="K2519" s="1217">
        <f t="shared" si="334"/>
        <v>0.42499999999999999</v>
      </c>
      <c r="L2519" s="711"/>
      <c r="M2519" s="711"/>
    </row>
    <row r="2520" spans="1:13" ht="24.95" customHeight="1">
      <c r="A2520" s="1234" t="s">
        <v>4910</v>
      </c>
      <c r="B2520" s="1286" t="s">
        <v>4911</v>
      </c>
      <c r="C2520" s="1226">
        <v>15</v>
      </c>
      <c r="D2520" s="1226">
        <v>7</v>
      </c>
      <c r="E2520" s="1278">
        <f t="shared" si="332"/>
        <v>0.46666666666666667</v>
      </c>
      <c r="F2520" s="1227"/>
      <c r="G2520" s="1279">
        <v>1</v>
      </c>
      <c r="H2520" s="1280" t="e">
        <f t="shared" si="333"/>
        <v>#DIV/0!</v>
      </c>
      <c r="I2520" s="1214">
        <f t="shared" si="331"/>
        <v>15</v>
      </c>
      <c r="J2520" s="860">
        <f t="shared" si="331"/>
        <v>8</v>
      </c>
      <c r="K2520" s="1217">
        <f t="shared" si="334"/>
        <v>0.53333333333333333</v>
      </c>
      <c r="L2520" s="711"/>
      <c r="M2520" s="711"/>
    </row>
    <row r="2521" spans="1:13" ht="24.95" customHeight="1">
      <c r="A2521" s="1218" t="s">
        <v>2423</v>
      </c>
      <c r="B2521" s="1287" t="s">
        <v>2424</v>
      </c>
      <c r="C2521" s="1226">
        <v>4800</v>
      </c>
      <c r="D2521" s="1226">
        <v>1952</v>
      </c>
      <c r="E2521" s="1278">
        <f t="shared" si="332"/>
        <v>0.40666666666666668</v>
      </c>
      <c r="F2521" s="1227">
        <v>75</v>
      </c>
      <c r="G2521" s="1279">
        <v>31</v>
      </c>
      <c r="H2521" s="1280">
        <f t="shared" si="333"/>
        <v>0.41333333333333333</v>
      </c>
      <c r="I2521" s="1214">
        <f t="shared" si="331"/>
        <v>4875</v>
      </c>
      <c r="J2521" s="860">
        <f t="shared" si="331"/>
        <v>1983</v>
      </c>
      <c r="K2521" s="1217">
        <f t="shared" si="334"/>
        <v>0.40676923076923077</v>
      </c>
      <c r="L2521" s="711"/>
      <c r="M2521" s="711"/>
    </row>
    <row r="2522" spans="1:13" s="711" customFormat="1" ht="24.95" customHeight="1">
      <c r="A2522" s="456" t="s">
        <v>3563</v>
      </c>
      <c r="B2522" s="449" t="s">
        <v>3568</v>
      </c>
      <c r="C2522" s="1252">
        <v>5</v>
      </c>
      <c r="D2522" s="1252">
        <v>2</v>
      </c>
      <c r="E2522" s="1278">
        <f t="shared" si="332"/>
        <v>0.4</v>
      </c>
      <c r="F2522" s="1253"/>
      <c r="G2522" s="1284"/>
      <c r="H2522" s="1280" t="e">
        <f t="shared" si="333"/>
        <v>#DIV/0!</v>
      </c>
      <c r="I2522" s="1214">
        <f t="shared" si="331"/>
        <v>5</v>
      </c>
      <c r="J2522" s="860">
        <f t="shared" si="331"/>
        <v>2</v>
      </c>
      <c r="K2522" s="1217">
        <f t="shared" si="334"/>
        <v>0.4</v>
      </c>
    </row>
    <row r="2523" spans="1:13" ht="24.95" customHeight="1">
      <c r="A2523" s="1218" t="s">
        <v>3567</v>
      </c>
      <c r="B2523" s="1247" t="s">
        <v>3568</v>
      </c>
      <c r="C2523" s="1226">
        <v>5</v>
      </c>
      <c r="D2523" s="1226">
        <v>1</v>
      </c>
      <c r="E2523" s="1278">
        <f t="shared" si="332"/>
        <v>0.2</v>
      </c>
      <c r="F2523" s="1227"/>
      <c r="G2523" s="1279"/>
      <c r="H2523" s="1280" t="e">
        <f t="shared" si="333"/>
        <v>#DIV/0!</v>
      </c>
      <c r="I2523" s="1214">
        <f t="shared" si="331"/>
        <v>5</v>
      </c>
      <c r="J2523" s="860">
        <f t="shared" si="331"/>
        <v>1</v>
      </c>
      <c r="K2523" s="1217">
        <f t="shared" si="334"/>
        <v>0.2</v>
      </c>
      <c r="L2523" s="711"/>
      <c r="M2523" s="711"/>
    </row>
    <row r="2524" spans="1:13" ht="24.95" customHeight="1">
      <c r="A2524" s="1223" t="s">
        <v>4912</v>
      </c>
      <c r="B2524" s="1286" t="s">
        <v>4913</v>
      </c>
      <c r="C2524" s="1226">
        <v>10</v>
      </c>
      <c r="D2524" s="1226">
        <v>2</v>
      </c>
      <c r="E2524" s="1278">
        <f t="shared" si="332"/>
        <v>0.2</v>
      </c>
      <c r="F2524" s="1227"/>
      <c r="G2524" s="1279"/>
      <c r="H2524" s="1280" t="e">
        <f t="shared" si="333"/>
        <v>#DIV/0!</v>
      </c>
      <c r="I2524" s="1214">
        <f t="shared" si="331"/>
        <v>10</v>
      </c>
      <c r="J2524" s="860">
        <f t="shared" si="331"/>
        <v>2</v>
      </c>
      <c r="K2524" s="1217">
        <f t="shared" si="334"/>
        <v>0.2</v>
      </c>
      <c r="L2524" s="711"/>
      <c r="M2524" s="711"/>
    </row>
    <row r="2525" spans="1:13" ht="24.95" customHeight="1">
      <c r="A2525" s="1218" t="s">
        <v>3781</v>
      </c>
      <c r="B2525" s="1247" t="s">
        <v>3782</v>
      </c>
      <c r="C2525" s="1226">
        <v>20</v>
      </c>
      <c r="D2525" s="1226">
        <v>7</v>
      </c>
      <c r="E2525" s="1278">
        <f t="shared" si="332"/>
        <v>0.35</v>
      </c>
      <c r="F2525" s="1227"/>
      <c r="G2525" s="1279"/>
      <c r="H2525" s="1280" t="e">
        <f t="shared" si="333"/>
        <v>#DIV/0!</v>
      </c>
      <c r="I2525" s="1214">
        <f t="shared" si="331"/>
        <v>20</v>
      </c>
      <c r="J2525" s="860">
        <f t="shared" si="331"/>
        <v>7</v>
      </c>
      <c r="K2525" s="1217">
        <f t="shared" si="334"/>
        <v>0.35</v>
      </c>
      <c r="L2525" s="711"/>
      <c r="M2525" s="711"/>
    </row>
    <row r="2526" spans="1:13" ht="24.95" customHeight="1">
      <c r="A2526" s="1248" t="s">
        <v>5172</v>
      </c>
      <c r="B2526" s="1249" t="s">
        <v>5173</v>
      </c>
      <c r="C2526" s="1226">
        <v>10</v>
      </c>
      <c r="D2526" s="1226">
        <v>3</v>
      </c>
      <c r="E2526" s="1278">
        <f t="shared" si="332"/>
        <v>0.3</v>
      </c>
      <c r="F2526" s="1227"/>
      <c r="G2526" s="1279"/>
      <c r="H2526" s="1280" t="e">
        <f t="shared" si="333"/>
        <v>#DIV/0!</v>
      </c>
      <c r="I2526" s="1214">
        <f t="shared" si="331"/>
        <v>10</v>
      </c>
      <c r="J2526" s="860">
        <f t="shared" si="331"/>
        <v>3</v>
      </c>
      <c r="K2526" s="1217">
        <f t="shared" si="334"/>
        <v>0.3</v>
      </c>
      <c r="L2526" s="711"/>
      <c r="M2526" s="711"/>
    </row>
    <row r="2527" spans="1:13" ht="24.95" customHeight="1">
      <c r="A2527" s="1218" t="s">
        <v>5156</v>
      </c>
      <c r="B2527" s="1247" t="s">
        <v>5157</v>
      </c>
      <c r="C2527" s="1226">
        <v>3</v>
      </c>
      <c r="D2527" s="1226"/>
      <c r="E2527" s="1278">
        <f t="shared" si="332"/>
        <v>0</v>
      </c>
      <c r="F2527" s="1227"/>
      <c r="G2527" s="1279"/>
      <c r="H2527" s="1280" t="e">
        <f t="shared" si="333"/>
        <v>#DIV/0!</v>
      </c>
      <c r="I2527" s="1214">
        <f t="shared" si="331"/>
        <v>3</v>
      </c>
      <c r="J2527" s="860">
        <f t="shared" si="331"/>
        <v>0</v>
      </c>
      <c r="K2527" s="1217">
        <f t="shared" si="334"/>
        <v>0</v>
      </c>
      <c r="L2527" s="711"/>
      <c r="M2527" s="711"/>
    </row>
    <row r="2528" spans="1:13" ht="24.95" customHeight="1">
      <c r="A2528" s="1218" t="s">
        <v>3231</v>
      </c>
      <c r="B2528" s="1247" t="s">
        <v>5174</v>
      </c>
      <c r="C2528" s="1226">
        <v>5</v>
      </c>
      <c r="D2528" s="1226">
        <v>5</v>
      </c>
      <c r="E2528" s="1278">
        <f t="shared" si="332"/>
        <v>1</v>
      </c>
      <c r="F2528" s="1227"/>
      <c r="G2528" s="1279"/>
      <c r="H2528" s="1280" t="e">
        <f t="shared" si="333"/>
        <v>#DIV/0!</v>
      </c>
      <c r="I2528" s="1214">
        <f t="shared" si="331"/>
        <v>5</v>
      </c>
      <c r="J2528" s="860">
        <f t="shared" si="331"/>
        <v>5</v>
      </c>
      <c r="K2528" s="1217">
        <f t="shared" si="334"/>
        <v>1</v>
      </c>
      <c r="L2528" s="711"/>
      <c r="M2528" s="711"/>
    </row>
    <row r="2529" spans="1:13" ht="24.95" customHeight="1">
      <c r="A2529" s="456" t="s">
        <v>2815</v>
      </c>
      <c r="B2529" s="452" t="s">
        <v>5175</v>
      </c>
      <c r="C2529" s="1226">
        <v>10</v>
      </c>
      <c r="D2529" s="1226"/>
      <c r="E2529" s="1278">
        <f t="shared" si="332"/>
        <v>0</v>
      </c>
      <c r="F2529" s="1227"/>
      <c r="G2529" s="1279"/>
      <c r="H2529" s="1280" t="e">
        <f t="shared" si="333"/>
        <v>#DIV/0!</v>
      </c>
      <c r="I2529" s="1214">
        <f t="shared" si="331"/>
        <v>10</v>
      </c>
      <c r="J2529" s="860">
        <f t="shared" si="331"/>
        <v>0</v>
      </c>
      <c r="K2529" s="1217">
        <f t="shared" si="334"/>
        <v>0</v>
      </c>
      <c r="L2529" s="711"/>
      <c r="M2529" s="711"/>
    </row>
    <row r="2530" spans="1:13" ht="24.95" customHeight="1">
      <c r="A2530" s="1218" t="s">
        <v>3581</v>
      </c>
      <c r="B2530" s="1247" t="s">
        <v>3582</v>
      </c>
      <c r="C2530" s="1226">
        <v>20</v>
      </c>
      <c r="D2530" s="1226">
        <v>8</v>
      </c>
      <c r="E2530" s="1278">
        <f t="shared" si="332"/>
        <v>0.4</v>
      </c>
      <c r="F2530" s="1227">
        <v>1</v>
      </c>
      <c r="G2530" s="1279"/>
      <c r="H2530" s="1280">
        <f t="shared" si="333"/>
        <v>0</v>
      </c>
      <c r="I2530" s="1214">
        <f t="shared" si="331"/>
        <v>21</v>
      </c>
      <c r="J2530" s="860">
        <f t="shared" si="331"/>
        <v>8</v>
      </c>
      <c r="K2530" s="1217">
        <f t="shared" si="334"/>
        <v>0.38095238095238093</v>
      </c>
      <c r="L2530" s="711"/>
      <c r="M2530" s="711"/>
    </row>
    <row r="2531" spans="1:13" ht="24.95" customHeight="1">
      <c r="A2531" s="456" t="s">
        <v>2429</v>
      </c>
      <c r="B2531" s="452" t="s">
        <v>2430</v>
      </c>
      <c r="C2531" s="1226"/>
      <c r="D2531" s="1226"/>
      <c r="E2531" s="1278" t="e">
        <f t="shared" si="332"/>
        <v>#DIV/0!</v>
      </c>
      <c r="F2531" s="1227">
        <v>3</v>
      </c>
      <c r="G2531" s="1279">
        <v>1</v>
      </c>
      <c r="H2531" s="1280">
        <f t="shared" si="333"/>
        <v>0.33333333333333331</v>
      </c>
      <c r="I2531" s="1214">
        <f t="shared" si="331"/>
        <v>3</v>
      </c>
      <c r="J2531" s="860">
        <f t="shared" si="331"/>
        <v>1</v>
      </c>
      <c r="K2531" s="1217">
        <f t="shared" si="334"/>
        <v>0.33333333333333331</v>
      </c>
      <c r="L2531" s="711"/>
      <c r="M2531" s="711"/>
    </row>
    <row r="2532" spans="1:13" ht="24.95" customHeight="1">
      <c r="A2532" s="1218" t="s">
        <v>5176</v>
      </c>
      <c r="B2532" s="1247" t="s">
        <v>5177</v>
      </c>
      <c r="C2532" s="1226">
        <v>30</v>
      </c>
      <c r="D2532" s="1226">
        <v>5</v>
      </c>
      <c r="E2532" s="1278">
        <f t="shared" si="332"/>
        <v>0.16666666666666666</v>
      </c>
      <c r="F2532" s="1227"/>
      <c r="G2532" s="1227"/>
      <c r="H2532" s="1280" t="e">
        <f t="shared" si="333"/>
        <v>#DIV/0!</v>
      </c>
      <c r="I2532" s="1214">
        <f t="shared" si="331"/>
        <v>30</v>
      </c>
      <c r="J2532" s="860">
        <f t="shared" si="331"/>
        <v>5</v>
      </c>
      <c r="K2532" s="1217">
        <f t="shared" si="334"/>
        <v>0.16666666666666666</v>
      </c>
      <c r="L2532" s="711"/>
      <c r="M2532" s="711"/>
    </row>
    <row r="2533" spans="1:13" ht="24.95" customHeight="1">
      <c r="A2533" s="1218" t="s">
        <v>5178</v>
      </c>
      <c r="B2533" s="1247" t="s">
        <v>5179</v>
      </c>
      <c r="C2533" s="1226">
        <v>2</v>
      </c>
      <c r="D2533" s="1226"/>
      <c r="E2533" s="1278">
        <f t="shared" si="332"/>
        <v>0</v>
      </c>
      <c r="F2533" s="1227"/>
      <c r="G2533" s="1227"/>
      <c r="H2533" s="1280" t="e">
        <f t="shared" si="333"/>
        <v>#DIV/0!</v>
      </c>
      <c r="I2533" s="1214">
        <f t="shared" si="331"/>
        <v>2</v>
      </c>
      <c r="J2533" s="860">
        <f t="shared" si="331"/>
        <v>0</v>
      </c>
      <c r="K2533" s="1217">
        <f t="shared" si="334"/>
        <v>0</v>
      </c>
      <c r="L2533" s="711"/>
      <c r="M2533" s="711"/>
    </row>
    <row r="2534" spans="1:13" ht="24.95" customHeight="1">
      <c r="A2534" s="1235" t="s">
        <v>5180</v>
      </c>
      <c r="B2534" s="1236" t="s">
        <v>5181</v>
      </c>
      <c r="C2534" s="1226">
        <v>2</v>
      </c>
      <c r="D2534" s="1226"/>
      <c r="E2534" s="1278">
        <f t="shared" si="332"/>
        <v>0</v>
      </c>
      <c r="F2534" s="1227"/>
      <c r="G2534" s="1227"/>
      <c r="H2534" s="1280" t="e">
        <f t="shared" si="333"/>
        <v>#DIV/0!</v>
      </c>
      <c r="I2534" s="1214">
        <f t="shared" si="331"/>
        <v>2</v>
      </c>
      <c r="J2534" s="860">
        <f t="shared" si="331"/>
        <v>0</v>
      </c>
      <c r="K2534" s="1217">
        <f t="shared" si="334"/>
        <v>0</v>
      </c>
      <c r="L2534" s="711"/>
      <c r="M2534" s="711"/>
    </row>
    <row r="2535" spans="1:13" ht="24.95" customHeight="1">
      <c r="A2535" s="1235" t="s">
        <v>4950</v>
      </c>
      <c r="B2535" s="1236" t="s">
        <v>4951</v>
      </c>
      <c r="C2535" s="1226">
        <v>1</v>
      </c>
      <c r="D2535" s="1226"/>
      <c r="E2535" s="1278">
        <f t="shared" si="332"/>
        <v>0</v>
      </c>
      <c r="F2535" s="1227"/>
      <c r="G2535" s="1227"/>
      <c r="H2535" s="1280" t="e">
        <f t="shared" si="333"/>
        <v>#DIV/0!</v>
      </c>
      <c r="I2535" s="1214">
        <f t="shared" si="331"/>
        <v>1</v>
      </c>
      <c r="J2535" s="860">
        <f t="shared" si="331"/>
        <v>0</v>
      </c>
      <c r="K2535" s="1217">
        <f t="shared" si="334"/>
        <v>0</v>
      </c>
      <c r="L2535" s="711"/>
      <c r="M2535" s="711"/>
    </row>
    <row r="2536" spans="1:13" s="711" customFormat="1" ht="24.95" customHeight="1">
      <c r="A2536" s="456" t="s">
        <v>5182</v>
      </c>
      <c r="B2536" s="449" t="s">
        <v>5183</v>
      </c>
      <c r="C2536" s="1252">
        <v>1</v>
      </c>
      <c r="D2536" s="1252"/>
      <c r="E2536" s="1278">
        <f t="shared" si="332"/>
        <v>0</v>
      </c>
      <c r="F2536" s="1253"/>
      <c r="G2536" s="1253"/>
      <c r="H2536" s="1280" t="e">
        <f t="shared" si="333"/>
        <v>#DIV/0!</v>
      </c>
      <c r="I2536" s="1214">
        <f t="shared" si="331"/>
        <v>1</v>
      </c>
      <c r="J2536" s="860">
        <f t="shared" si="331"/>
        <v>0</v>
      </c>
      <c r="K2536" s="1217">
        <f t="shared" si="334"/>
        <v>0</v>
      </c>
    </row>
    <row r="2537" spans="1:13" ht="24.95" customHeight="1">
      <c r="A2537" s="1234" t="s">
        <v>5184</v>
      </c>
      <c r="B2537" s="1237" t="s">
        <v>5185</v>
      </c>
      <c r="C2537" s="1212">
        <v>3</v>
      </c>
      <c r="D2537" s="1212"/>
      <c r="E2537" s="1278">
        <f t="shared" si="332"/>
        <v>0</v>
      </c>
      <c r="F2537" s="1214">
        <v>1</v>
      </c>
      <c r="G2537" s="1214">
        <v>1</v>
      </c>
      <c r="H2537" s="1280">
        <f t="shared" si="333"/>
        <v>1</v>
      </c>
      <c r="I2537" s="1214">
        <f t="shared" si="331"/>
        <v>4</v>
      </c>
      <c r="J2537" s="860">
        <f t="shared" si="331"/>
        <v>1</v>
      </c>
      <c r="K2537" s="1217">
        <f t="shared" si="334"/>
        <v>0.25</v>
      </c>
      <c r="L2537" s="711"/>
      <c r="M2537" s="711"/>
    </row>
    <row r="2538" spans="1:13" ht="24.95" customHeight="1">
      <c r="A2538" s="1218" t="s">
        <v>4884</v>
      </c>
      <c r="B2538" s="1247" t="s">
        <v>4885</v>
      </c>
      <c r="C2538" s="1226"/>
      <c r="D2538" s="1226"/>
      <c r="E2538" s="1278" t="e">
        <f t="shared" si="332"/>
        <v>#DIV/0!</v>
      </c>
      <c r="F2538" s="1282"/>
      <c r="G2538" s="1282"/>
      <c r="H2538" s="1280" t="e">
        <f t="shared" si="333"/>
        <v>#DIV/0!</v>
      </c>
      <c r="I2538" s="1214">
        <f t="shared" si="331"/>
        <v>0</v>
      </c>
      <c r="J2538" s="860">
        <f t="shared" si="331"/>
        <v>0</v>
      </c>
      <c r="K2538" s="1217" t="e">
        <f t="shared" si="334"/>
        <v>#DIV/0!</v>
      </c>
      <c r="L2538" s="711"/>
      <c r="M2538" s="711"/>
    </row>
    <row r="2539" spans="1:13" ht="24.95" customHeight="1">
      <c r="A2539" s="1218" t="s">
        <v>5186</v>
      </c>
      <c r="B2539" s="1247" t="s">
        <v>5187</v>
      </c>
      <c r="C2539" s="1226">
        <v>3</v>
      </c>
      <c r="D2539" s="1226"/>
      <c r="E2539" s="1278">
        <f t="shared" si="332"/>
        <v>0</v>
      </c>
      <c r="F2539" s="1282"/>
      <c r="G2539" s="1282"/>
      <c r="H2539" s="1280" t="e">
        <f t="shared" si="333"/>
        <v>#DIV/0!</v>
      </c>
      <c r="I2539" s="1214"/>
      <c r="J2539" s="860">
        <f t="shared" ref="J2539:J2568" si="335">+D2539+G2539</f>
        <v>0</v>
      </c>
      <c r="K2539" s="1217" t="e">
        <f t="shared" si="334"/>
        <v>#DIV/0!</v>
      </c>
      <c r="L2539" s="711"/>
      <c r="M2539" s="711"/>
    </row>
    <row r="2540" spans="1:13" ht="24.95" customHeight="1">
      <c r="A2540" s="456" t="s">
        <v>4624</v>
      </c>
      <c r="B2540" s="452" t="s">
        <v>4625</v>
      </c>
      <c r="C2540" s="1226">
        <v>1</v>
      </c>
      <c r="D2540" s="1226">
        <v>3</v>
      </c>
      <c r="E2540" s="1278">
        <f t="shared" si="332"/>
        <v>3</v>
      </c>
      <c r="F2540" s="1227"/>
      <c r="G2540" s="1227"/>
      <c r="H2540" s="1280" t="e">
        <f t="shared" si="333"/>
        <v>#DIV/0!</v>
      </c>
      <c r="I2540" s="1214">
        <f t="shared" ref="I2540:I2562" si="336">+C2540+F2540</f>
        <v>1</v>
      </c>
      <c r="J2540" s="860">
        <f t="shared" si="335"/>
        <v>3</v>
      </c>
      <c r="K2540" s="1217">
        <f t="shared" si="334"/>
        <v>3</v>
      </c>
      <c r="L2540" s="711"/>
      <c r="M2540" s="711"/>
    </row>
    <row r="2541" spans="1:13" ht="24.95" customHeight="1">
      <c r="A2541" s="1223" t="s">
        <v>3615</v>
      </c>
      <c r="B2541" s="1286" t="s">
        <v>3616</v>
      </c>
      <c r="C2541" s="1226">
        <v>2</v>
      </c>
      <c r="D2541" s="1226"/>
      <c r="E2541" s="1278">
        <f t="shared" si="332"/>
        <v>0</v>
      </c>
      <c r="F2541" s="1282"/>
      <c r="G2541" s="1282"/>
      <c r="H2541" s="1280" t="e">
        <f t="shared" si="333"/>
        <v>#DIV/0!</v>
      </c>
      <c r="I2541" s="1214">
        <f t="shared" si="336"/>
        <v>2</v>
      </c>
      <c r="J2541" s="860">
        <f t="shared" si="335"/>
        <v>0</v>
      </c>
      <c r="K2541" s="1217">
        <f t="shared" si="334"/>
        <v>0</v>
      </c>
      <c r="L2541" s="711"/>
      <c r="M2541" s="711"/>
    </row>
    <row r="2542" spans="1:13" ht="24.95" customHeight="1">
      <c r="A2542" s="1223" t="s">
        <v>3921</v>
      </c>
      <c r="B2542" s="1286" t="s">
        <v>5188</v>
      </c>
      <c r="C2542" s="1226">
        <v>1</v>
      </c>
      <c r="D2542" s="1226"/>
      <c r="E2542" s="1278">
        <f t="shared" si="332"/>
        <v>0</v>
      </c>
      <c r="F2542" s="1282"/>
      <c r="G2542" s="1282"/>
      <c r="H2542" s="1280" t="e">
        <f t="shared" si="333"/>
        <v>#DIV/0!</v>
      </c>
      <c r="I2542" s="1214">
        <f t="shared" si="336"/>
        <v>1</v>
      </c>
      <c r="J2542" s="860">
        <f t="shared" si="335"/>
        <v>0</v>
      </c>
      <c r="K2542" s="1217">
        <f t="shared" si="334"/>
        <v>0</v>
      </c>
      <c r="L2542" s="711"/>
      <c r="M2542" s="711"/>
    </row>
    <row r="2543" spans="1:13" ht="24.95" customHeight="1">
      <c r="A2543" s="456">
        <v>600349</v>
      </c>
      <c r="B2543" s="1260" t="s">
        <v>2434</v>
      </c>
      <c r="C2543" s="1226"/>
      <c r="D2543" s="1226"/>
      <c r="E2543" s="1278" t="e">
        <f t="shared" si="332"/>
        <v>#DIV/0!</v>
      </c>
      <c r="F2543" s="1227">
        <v>50</v>
      </c>
      <c r="G2543" s="1227">
        <v>13</v>
      </c>
      <c r="H2543" s="1280">
        <f t="shared" si="333"/>
        <v>0.26</v>
      </c>
      <c r="I2543" s="1214">
        <f t="shared" si="336"/>
        <v>50</v>
      </c>
      <c r="J2543" s="860">
        <f t="shared" si="335"/>
        <v>13</v>
      </c>
      <c r="K2543" s="1217">
        <f t="shared" si="334"/>
        <v>0.26</v>
      </c>
      <c r="L2543" s="711"/>
      <c r="M2543" s="711"/>
    </row>
    <row r="2544" spans="1:13" ht="24.95" customHeight="1">
      <c r="A2544" s="1235" t="s">
        <v>2439</v>
      </c>
      <c r="B2544" s="1236" t="s">
        <v>2440</v>
      </c>
      <c r="C2544" s="1226"/>
      <c r="D2544" s="1226"/>
      <c r="E2544" s="1278" t="e">
        <f t="shared" si="332"/>
        <v>#DIV/0!</v>
      </c>
      <c r="F2544" s="1227">
        <v>25</v>
      </c>
      <c r="G2544" s="1279">
        <v>11</v>
      </c>
      <c r="H2544" s="1280">
        <f t="shared" si="333"/>
        <v>0.44</v>
      </c>
      <c r="I2544" s="1214">
        <f t="shared" si="336"/>
        <v>25</v>
      </c>
      <c r="J2544" s="860">
        <f t="shared" si="335"/>
        <v>11</v>
      </c>
      <c r="K2544" s="1217">
        <f t="shared" si="334"/>
        <v>0.44</v>
      </c>
      <c r="L2544" s="711"/>
      <c r="M2544" s="711"/>
    </row>
    <row r="2545" spans="1:13" s="719" customFormat="1" ht="24.95" customHeight="1">
      <c r="A2545" s="1223" t="s">
        <v>4393</v>
      </c>
      <c r="B2545" s="1286" t="s">
        <v>4394</v>
      </c>
      <c r="C2545" s="1226">
        <v>50</v>
      </c>
      <c r="D2545" s="1226">
        <v>26</v>
      </c>
      <c r="E2545" s="1278">
        <f t="shared" si="332"/>
        <v>0.52</v>
      </c>
      <c r="F2545" s="1227">
        <v>3</v>
      </c>
      <c r="G2545" s="1279">
        <v>1</v>
      </c>
      <c r="H2545" s="1280">
        <f t="shared" si="333"/>
        <v>0.33333333333333331</v>
      </c>
      <c r="I2545" s="1214">
        <f t="shared" si="336"/>
        <v>53</v>
      </c>
      <c r="J2545" s="860">
        <f t="shared" si="335"/>
        <v>27</v>
      </c>
      <c r="K2545" s="1217">
        <f t="shared" si="334"/>
        <v>0.50943396226415094</v>
      </c>
      <c r="L2545" s="734"/>
      <c r="M2545" s="734"/>
    </row>
    <row r="2546" spans="1:13" ht="24.95" customHeight="1">
      <c r="A2546" s="1218" t="s">
        <v>5160</v>
      </c>
      <c r="B2546" s="1247" t="s">
        <v>5161</v>
      </c>
      <c r="C2546" s="1226">
        <v>3</v>
      </c>
      <c r="D2546" s="1226"/>
      <c r="E2546" s="1278">
        <f t="shared" si="332"/>
        <v>0</v>
      </c>
      <c r="F2546" s="1282">
        <v>2</v>
      </c>
      <c r="G2546" s="1283"/>
      <c r="H2546" s="1280">
        <f t="shared" si="333"/>
        <v>0</v>
      </c>
      <c r="I2546" s="1214">
        <f t="shared" si="336"/>
        <v>5</v>
      </c>
      <c r="J2546" s="860">
        <f t="shared" si="335"/>
        <v>0</v>
      </c>
      <c r="K2546" s="1217">
        <f t="shared" si="334"/>
        <v>0</v>
      </c>
      <c r="L2546" s="711"/>
      <c r="M2546" s="711"/>
    </row>
    <row r="2547" spans="1:13" ht="24.95" customHeight="1">
      <c r="A2547" s="1218" t="s">
        <v>2894</v>
      </c>
      <c r="B2547" s="1247" t="s">
        <v>2895</v>
      </c>
      <c r="C2547" s="1226">
        <v>10</v>
      </c>
      <c r="D2547" s="1226">
        <v>3</v>
      </c>
      <c r="E2547" s="1278">
        <f t="shared" si="332"/>
        <v>0.3</v>
      </c>
      <c r="F2547" s="1227">
        <v>10</v>
      </c>
      <c r="G2547" s="1279"/>
      <c r="H2547" s="1280">
        <f t="shared" si="333"/>
        <v>0</v>
      </c>
      <c r="I2547" s="1214">
        <f t="shared" si="336"/>
        <v>20</v>
      </c>
      <c r="J2547" s="860">
        <f t="shared" si="335"/>
        <v>3</v>
      </c>
      <c r="K2547" s="1217">
        <f t="shared" si="334"/>
        <v>0.15</v>
      </c>
      <c r="L2547" s="711"/>
      <c r="M2547" s="711"/>
    </row>
    <row r="2548" spans="1:13" ht="24.95" customHeight="1">
      <c r="A2548" s="1223" t="s">
        <v>5131</v>
      </c>
      <c r="B2548" s="1286" t="s">
        <v>5132</v>
      </c>
      <c r="C2548" s="1226">
        <v>10</v>
      </c>
      <c r="D2548" s="1226">
        <v>2</v>
      </c>
      <c r="E2548" s="1278">
        <f t="shared" si="332"/>
        <v>0.2</v>
      </c>
      <c r="F2548" s="1227"/>
      <c r="G2548" s="1279"/>
      <c r="H2548" s="1280" t="e">
        <f t="shared" si="333"/>
        <v>#DIV/0!</v>
      </c>
      <c r="I2548" s="1214">
        <f t="shared" si="336"/>
        <v>10</v>
      </c>
      <c r="J2548" s="860">
        <f t="shared" si="335"/>
        <v>2</v>
      </c>
      <c r="K2548" s="1217">
        <f t="shared" si="334"/>
        <v>0.2</v>
      </c>
      <c r="L2548" s="711"/>
      <c r="M2548" s="711"/>
    </row>
    <row r="2549" spans="1:13" ht="24.95" customHeight="1">
      <c r="A2549" s="730" t="s">
        <v>2908</v>
      </c>
      <c r="B2549" s="731" t="s">
        <v>3712</v>
      </c>
      <c r="C2549" s="1226"/>
      <c r="D2549" s="1226"/>
      <c r="E2549" s="1278" t="e">
        <f t="shared" si="332"/>
        <v>#DIV/0!</v>
      </c>
      <c r="F2549" s="1227">
        <v>2</v>
      </c>
      <c r="G2549" s="1279"/>
      <c r="H2549" s="1280">
        <f t="shared" si="333"/>
        <v>0</v>
      </c>
      <c r="I2549" s="1214">
        <f t="shared" si="336"/>
        <v>2</v>
      </c>
      <c r="J2549" s="860">
        <f t="shared" si="335"/>
        <v>0</v>
      </c>
      <c r="K2549" s="1217">
        <f t="shared" si="334"/>
        <v>0</v>
      </c>
      <c r="L2549" s="711"/>
      <c r="M2549" s="711"/>
    </row>
    <row r="2550" spans="1:13" ht="24.95" customHeight="1">
      <c r="A2550" s="456" t="s">
        <v>2479</v>
      </c>
      <c r="B2550" s="452" t="s">
        <v>2480</v>
      </c>
      <c r="C2550" s="1226">
        <v>1</v>
      </c>
      <c r="D2550" s="1226"/>
      <c r="E2550" s="1278">
        <f t="shared" si="332"/>
        <v>0</v>
      </c>
      <c r="F2550" s="1227">
        <v>1</v>
      </c>
      <c r="G2550" s="1279">
        <v>1</v>
      </c>
      <c r="H2550" s="1280">
        <f t="shared" si="333"/>
        <v>1</v>
      </c>
      <c r="I2550" s="1214">
        <f t="shared" si="336"/>
        <v>2</v>
      </c>
      <c r="J2550" s="860">
        <f t="shared" si="335"/>
        <v>1</v>
      </c>
      <c r="K2550" s="1217">
        <f t="shared" si="334"/>
        <v>0.5</v>
      </c>
      <c r="L2550" s="711"/>
      <c r="M2550" s="711"/>
    </row>
    <row r="2551" spans="1:13" ht="24.95" customHeight="1">
      <c r="A2551" s="456" t="s">
        <v>3194</v>
      </c>
      <c r="B2551" s="1271" t="s">
        <v>2482</v>
      </c>
      <c r="C2551" s="1226">
        <v>1</v>
      </c>
      <c r="D2551" s="1226"/>
      <c r="E2551" s="1278">
        <f t="shared" si="332"/>
        <v>0</v>
      </c>
      <c r="F2551" s="1227">
        <v>1</v>
      </c>
      <c r="G2551" s="1279">
        <v>1</v>
      </c>
      <c r="H2551" s="1280">
        <f t="shared" si="333"/>
        <v>1</v>
      </c>
      <c r="I2551" s="1214">
        <f t="shared" si="336"/>
        <v>2</v>
      </c>
      <c r="J2551" s="860">
        <f t="shared" si="335"/>
        <v>1</v>
      </c>
      <c r="K2551" s="1217">
        <f t="shared" si="334"/>
        <v>0.5</v>
      </c>
      <c r="L2551" s="711"/>
      <c r="M2551" s="711"/>
    </row>
    <row r="2552" spans="1:13" ht="24.95" customHeight="1">
      <c r="A2552" s="1223" t="s">
        <v>3041</v>
      </c>
      <c r="B2552" s="1286" t="s">
        <v>3042</v>
      </c>
      <c r="C2552" s="1226">
        <v>840</v>
      </c>
      <c r="D2552" s="1226">
        <v>364</v>
      </c>
      <c r="E2552" s="1278">
        <f t="shared" si="332"/>
        <v>0.43333333333333335</v>
      </c>
      <c r="F2552" s="1227">
        <v>3</v>
      </c>
      <c r="G2552" s="1279">
        <v>1</v>
      </c>
      <c r="H2552" s="1280">
        <f t="shared" si="333"/>
        <v>0.33333333333333331</v>
      </c>
      <c r="I2552" s="1214">
        <f t="shared" si="336"/>
        <v>843</v>
      </c>
      <c r="J2552" s="860">
        <f t="shared" si="335"/>
        <v>365</v>
      </c>
      <c r="K2552" s="1217">
        <f t="shared" si="334"/>
        <v>0.43297746144721233</v>
      </c>
      <c r="L2552" s="711"/>
      <c r="M2552" s="711"/>
    </row>
    <row r="2553" spans="1:13" ht="24.95" customHeight="1">
      <c r="A2553" s="1223" t="s">
        <v>2548</v>
      </c>
      <c r="B2553" s="1286" t="s">
        <v>2549</v>
      </c>
      <c r="C2553" s="1226">
        <v>30</v>
      </c>
      <c r="D2553" s="1226"/>
      <c r="E2553" s="1278">
        <f t="shared" si="332"/>
        <v>0</v>
      </c>
      <c r="F2553" s="1227">
        <v>2</v>
      </c>
      <c r="G2553" s="1279"/>
      <c r="H2553" s="1280">
        <f t="shared" si="333"/>
        <v>0</v>
      </c>
      <c r="I2553" s="1214">
        <f t="shared" si="336"/>
        <v>32</v>
      </c>
      <c r="J2553" s="860">
        <f t="shared" si="335"/>
        <v>0</v>
      </c>
      <c r="K2553" s="1217">
        <f t="shared" si="334"/>
        <v>0</v>
      </c>
      <c r="L2553" s="711"/>
      <c r="M2553" s="711"/>
    </row>
    <row r="2554" spans="1:13" ht="24.95" customHeight="1">
      <c r="A2554" s="1223" t="s">
        <v>2550</v>
      </c>
      <c r="B2554" s="1286" t="s">
        <v>2551</v>
      </c>
      <c r="C2554" s="1226">
        <v>660</v>
      </c>
      <c r="D2554" s="1226">
        <v>300</v>
      </c>
      <c r="E2554" s="1278">
        <f t="shared" si="332"/>
        <v>0.45454545454545453</v>
      </c>
      <c r="F2554" s="1227">
        <v>10</v>
      </c>
      <c r="G2554" s="1279">
        <v>4</v>
      </c>
      <c r="H2554" s="1280">
        <f t="shared" si="333"/>
        <v>0.4</v>
      </c>
      <c r="I2554" s="1214">
        <f t="shared" si="336"/>
        <v>670</v>
      </c>
      <c r="J2554" s="860">
        <f t="shared" si="335"/>
        <v>304</v>
      </c>
      <c r="K2554" s="1217">
        <f t="shared" si="334"/>
        <v>0.45373134328358211</v>
      </c>
      <c r="L2554" s="711"/>
      <c r="M2554" s="711"/>
    </row>
    <row r="2555" spans="1:13" ht="24.95" customHeight="1">
      <c r="A2555" s="1223" t="s">
        <v>2552</v>
      </c>
      <c r="B2555" s="1286" t="s">
        <v>2553</v>
      </c>
      <c r="C2555" s="1226">
        <v>2</v>
      </c>
      <c r="D2555" s="1226"/>
      <c r="E2555" s="1278">
        <f t="shared" si="332"/>
        <v>0</v>
      </c>
      <c r="F2555" s="1227"/>
      <c r="G2555" s="1279"/>
      <c r="H2555" s="1280" t="e">
        <f t="shared" si="333"/>
        <v>#DIV/0!</v>
      </c>
      <c r="I2555" s="1214">
        <f t="shared" si="336"/>
        <v>2</v>
      </c>
      <c r="J2555" s="860">
        <f t="shared" si="335"/>
        <v>0</v>
      </c>
      <c r="K2555" s="1217">
        <f t="shared" si="334"/>
        <v>0</v>
      </c>
      <c r="L2555" s="711"/>
      <c r="M2555" s="711"/>
    </row>
    <row r="2556" spans="1:13" ht="24.95" customHeight="1">
      <c r="A2556" s="1223" t="s">
        <v>2554</v>
      </c>
      <c r="B2556" s="1286" t="s">
        <v>4151</v>
      </c>
      <c r="C2556" s="1226">
        <v>10</v>
      </c>
      <c r="D2556" s="1226">
        <v>5</v>
      </c>
      <c r="E2556" s="1278">
        <f t="shared" si="332"/>
        <v>0.5</v>
      </c>
      <c r="F2556" s="1282"/>
      <c r="G2556" s="1283"/>
      <c r="H2556" s="1280" t="e">
        <f t="shared" si="333"/>
        <v>#DIV/0!</v>
      </c>
      <c r="I2556" s="1214">
        <f t="shared" si="336"/>
        <v>10</v>
      </c>
      <c r="J2556" s="860">
        <f t="shared" si="335"/>
        <v>5</v>
      </c>
      <c r="K2556" s="1217">
        <f t="shared" si="334"/>
        <v>0.5</v>
      </c>
      <c r="L2556" s="711"/>
      <c r="M2556" s="711"/>
    </row>
    <row r="2557" spans="1:13" ht="24.95" customHeight="1">
      <c r="A2557" s="1223" t="s">
        <v>2946</v>
      </c>
      <c r="B2557" s="1286" t="s">
        <v>2947</v>
      </c>
      <c r="C2557" s="1226">
        <v>10</v>
      </c>
      <c r="D2557" s="1226"/>
      <c r="E2557" s="1278">
        <f t="shared" si="332"/>
        <v>0</v>
      </c>
      <c r="F2557" s="1282">
        <v>50</v>
      </c>
      <c r="G2557" s="1283">
        <v>18</v>
      </c>
      <c r="H2557" s="1280">
        <f t="shared" si="333"/>
        <v>0.36</v>
      </c>
      <c r="I2557" s="1214">
        <f t="shared" si="336"/>
        <v>60</v>
      </c>
      <c r="J2557" s="860">
        <f t="shared" si="335"/>
        <v>18</v>
      </c>
      <c r="K2557" s="1217">
        <f t="shared" si="334"/>
        <v>0.3</v>
      </c>
      <c r="L2557" s="711"/>
      <c r="M2557" s="711"/>
    </row>
    <row r="2558" spans="1:13" ht="24.95" customHeight="1">
      <c r="A2558" s="1223" t="s">
        <v>3736</v>
      </c>
      <c r="B2558" s="1286" t="s">
        <v>3737</v>
      </c>
      <c r="C2558" s="1226">
        <v>80</v>
      </c>
      <c r="D2558" s="1226">
        <v>30</v>
      </c>
      <c r="E2558" s="1278">
        <f t="shared" si="332"/>
        <v>0.375</v>
      </c>
      <c r="F2558" s="1282">
        <v>1</v>
      </c>
      <c r="G2558" s="1283"/>
      <c r="H2558" s="1280">
        <f t="shared" si="333"/>
        <v>0</v>
      </c>
      <c r="I2558" s="1214">
        <f t="shared" si="336"/>
        <v>81</v>
      </c>
      <c r="J2558" s="860">
        <f t="shared" si="335"/>
        <v>30</v>
      </c>
      <c r="K2558" s="1217">
        <f t="shared" si="334"/>
        <v>0.37037037037037035</v>
      </c>
      <c r="L2558" s="711"/>
      <c r="M2558" s="711"/>
    </row>
    <row r="2559" spans="1:13" ht="24.95" customHeight="1">
      <c r="A2559" s="456" t="s">
        <v>2620</v>
      </c>
      <c r="B2559" s="1271" t="s">
        <v>2621</v>
      </c>
      <c r="C2559" s="1226"/>
      <c r="D2559" s="1226">
        <v>2</v>
      </c>
      <c r="E2559" s="1278" t="e">
        <f t="shared" si="332"/>
        <v>#DIV/0!</v>
      </c>
      <c r="F2559" s="1227">
        <v>2</v>
      </c>
      <c r="G2559" s="1285"/>
      <c r="H2559" s="1280">
        <f t="shared" si="333"/>
        <v>0</v>
      </c>
      <c r="I2559" s="1227">
        <f t="shared" si="336"/>
        <v>2</v>
      </c>
      <c r="J2559" s="860">
        <f t="shared" si="335"/>
        <v>2</v>
      </c>
      <c r="K2559" s="1217">
        <f t="shared" si="334"/>
        <v>1</v>
      </c>
      <c r="L2559" s="711"/>
      <c r="M2559" s="711"/>
    </row>
    <row r="2560" spans="1:13" ht="24.95" customHeight="1">
      <c r="A2560" s="1240" t="s">
        <v>2624</v>
      </c>
      <c r="B2560" s="1272" t="s">
        <v>5189</v>
      </c>
      <c r="C2560" s="1226"/>
      <c r="D2560" s="1226"/>
      <c r="E2560" s="1278" t="e">
        <f t="shared" si="332"/>
        <v>#DIV/0!</v>
      </c>
      <c r="F2560" s="1227">
        <v>10</v>
      </c>
      <c r="G2560" s="1279">
        <v>13</v>
      </c>
      <c r="H2560" s="1280">
        <f t="shared" si="333"/>
        <v>1.3</v>
      </c>
      <c r="I2560" s="1214">
        <f t="shared" si="336"/>
        <v>10</v>
      </c>
      <c r="J2560" s="860">
        <f t="shared" si="335"/>
        <v>13</v>
      </c>
      <c r="K2560" s="1217">
        <f t="shared" si="334"/>
        <v>1.3</v>
      </c>
      <c r="L2560" s="711"/>
      <c r="M2560" s="711"/>
    </row>
    <row r="2561" spans="1:13" ht="24.95" customHeight="1">
      <c r="A2561" s="1240" t="s">
        <v>2629</v>
      </c>
      <c r="B2561" s="1272" t="s">
        <v>2630</v>
      </c>
      <c r="C2561" s="1226"/>
      <c r="D2561" s="1226"/>
      <c r="E2561" s="1278" t="e">
        <f t="shared" si="332"/>
        <v>#DIV/0!</v>
      </c>
      <c r="F2561" s="1227">
        <v>10</v>
      </c>
      <c r="G2561" s="1279">
        <v>5</v>
      </c>
      <c r="H2561" s="1280">
        <f t="shared" si="333"/>
        <v>0.5</v>
      </c>
      <c r="I2561" s="1214">
        <f t="shared" si="336"/>
        <v>10</v>
      </c>
      <c r="J2561" s="860">
        <f t="shared" si="335"/>
        <v>5</v>
      </c>
      <c r="K2561" s="1217">
        <f t="shared" si="334"/>
        <v>0.5</v>
      </c>
      <c r="L2561" s="711"/>
      <c r="M2561" s="711"/>
    </row>
    <row r="2562" spans="1:13" ht="24.95" customHeight="1">
      <c r="A2562" s="1235" t="s">
        <v>2631</v>
      </c>
      <c r="B2562" s="1288" t="s">
        <v>2632</v>
      </c>
      <c r="C2562" s="1226"/>
      <c r="D2562" s="1226"/>
      <c r="E2562" s="1278" t="e">
        <f t="shared" si="332"/>
        <v>#DIV/0!</v>
      </c>
      <c r="F2562" s="1227">
        <v>10</v>
      </c>
      <c r="G2562" s="1279">
        <v>15</v>
      </c>
      <c r="H2562" s="1280">
        <f t="shared" si="333"/>
        <v>1.5</v>
      </c>
      <c r="I2562" s="1214">
        <f t="shared" si="336"/>
        <v>10</v>
      </c>
      <c r="J2562" s="860">
        <f t="shared" si="335"/>
        <v>15</v>
      </c>
      <c r="K2562" s="1217">
        <f t="shared" si="334"/>
        <v>1.5</v>
      </c>
      <c r="L2562" s="711"/>
      <c r="M2562" s="711"/>
    </row>
    <row r="2563" spans="1:13" ht="24.95" customHeight="1">
      <c r="A2563" s="1235" t="s">
        <v>2639</v>
      </c>
      <c r="B2563" s="1288" t="s">
        <v>2640</v>
      </c>
      <c r="C2563" s="1226">
        <v>2</v>
      </c>
      <c r="D2563" s="1289"/>
      <c r="E2563" s="1278">
        <f t="shared" si="332"/>
        <v>0</v>
      </c>
      <c r="F2563" s="1290"/>
      <c r="G2563" s="1279">
        <v>6</v>
      </c>
      <c r="H2563" s="1280" t="e">
        <f t="shared" si="333"/>
        <v>#DIV/0!</v>
      </c>
      <c r="I2563" s="1214"/>
      <c r="J2563" s="860">
        <f t="shared" si="335"/>
        <v>6</v>
      </c>
      <c r="K2563" s="1217" t="e">
        <f t="shared" si="334"/>
        <v>#DIV/0!</v>
      </c>
      <c r="L2563" s="711"/>
      <c r="M2563" s="711"/>
    </row>
    <row r="2564" spans="1:13" ht="24.95" customHeight="1">
      <c r="A2564" s="1235" t="s">
        <v>2633</v>
      </c>
      <c r="B2564" s="1288" t="s">
        <v>2965</v>
      </c>
      <c r="C2564" s="1226"/>
      <c r="D2564" s="1289"/>
      <c r="E2564" s="1278" t="e">
        <f t="shared" si="332"/>
        <v>#DIV/0!</v>
      </c>
      <c r="F2564" s="1290">
        <v>10</v>
      </c>
      <c r="G2564" s="1279">
        <v>9</v>
      </c>
      <c r="H2564" s="1280">
        <f t="shared" si="333"/>
        <v>0.9</v>
      </c>
      <c r="I2564" s="1214">
        <f>+C2564+F2564</f>
        <v>10</v>
      </c>
      <c r="J2564" s="860">
        <f t="shared" si="335"/>
        <v>9</v>
      </c>
      <c r="K2564" s="1217">
        <f t="shared" si="334"/>
        <v>0.9</v>
      </c>
      <c r="L2564" s="711"/>
      <c r="M2564" s="711"/>
    </row>
    <row r="2565" spans="1:13" ht="24.95" customHeight="1">
      <c r="A2565" s="1235" t="s">
        <v>2657</v>
      </c>
      <c r="B2565" s="1288" t="s">
        <v>5190</v>
      </c>
      <c r="C2565" s="1226"/>
      <c r="D2565" s="1289"/>
      <c r="E2565" s="1278" t="e">
        <f t="shared" si="332"/>
        <v>#DIV/0!</v>
      </c>
      <c r="F2565" s="1290">
        <v>5</v>
      </c>
      <c r="G2565" s="1279"/>
      <c r="H2565" s="1280">
        <f t="shared" si="333"/>
        <v>0</v>
      </c>
      <c r="I2565" s="1214">
        <f>+C2565+F2565</f>
        <v>5</v>
      </c>
      <c r="J2565" s="860">
        <f t="shared" si="335"/>
        <v>0</v>
      </c>
      <c r="K2565" s="1217">
        <f t="shared" si="334"/>
        <v>0</v>
      </c>
      <c r="L2565" s="711"/>
      <c r="M2565" s="711"/>
    </row>
    <row r="2566" spans="1:13" ht="24.95" customHeight="1">
      <c r="A2566" s="1235" t="s">
        <v>2643</v>
      </c>
      <c r="B2566" s="1291" t="s">
        <v>2973</v>
      </c>
      <c r="C2566" s="1226"/>
      <c r="D2566" s="1226"/>
      <c r="E2566" s="1278" t="e">
        <f t="shared" si="332"/>
        <v>#DIV/0!</v>
      </c>
      <c r="F2566" s="1227">
        <v>10</v>
      </c>
      <c r="G2566" s="1279">
        <v>5</v>
      </c>
      <c r="H2566" s="1280">
        <f t="shared" si="333"/>
        <v>0.5</v>
      </c>
      <c r="I2566" s="1214">
        <f>+C2566+F2566</f>
        <v>10</v>
      </c>
      <c r="J2566" s="860">
        <f t="shared" si="335"/>
        <v>5</v>
      </c>
      <c r="K2566" s="1217">
        <f t="shared" si="334"/>
        <v>0.5</v>
      </c>
      <c r="L2566" s="711"/>
      <c r="M2566" s="711"/>
    </row>
    <row r="2567" spans="1:13" ht="24.95" customHeight="1">
      <c r="A2567" s="1235" t="s">
        <v>2645</v>
      </c>
      <c r="B2567" s="1236" t="s">
        <v>2646</v>
      </c>
      <c r="C2567" s="1226"/>
      <c r="D2567" s="1226"/>
      <c r="E2567" s="1278" t="e">
        <f t="shared" si="332"/>
        <v>#DIV/0!</v>
      </c>
      <c r="F2567" s="1227">
        <v>480</v>
      </c>
      <c r="G2567" s="1279">
        <v>276</v>
      </c>
      <c r="H2567" s="1280">
        <f t="shared" si="333"/>
        <v>0.57499999999999996</v>
      </c>
      <c r="I2567" s="1214">
        <f>+C2567+F2567</f>
        <v>480</v>
      </c>
      <c r="J2567" s="860">
        <f t="shared" si="335"/>
        <v>276</v>
      </c>
      <c r="K2567" s="1217">
        <f t="shared" si="334"/>
        <v>0.57499999999999996</v>
      </c>
      <c r="L2567" s="711"/>
      <c r="M2567" s="711"/>
    </row>
    <row r="2568" spans="1:13" ht="24.95" customHeight="1">
      <c r="A2568" s="730" t="s">
        <v>2667</v>
      </c>
      <c r="B2568" s="792" t="s">
        <v>5162</v>
      </c>
      <c r="C2568" s="1226">
        <v>3</v>
      </c>
      <c r="D2568" s="1226">
        <v>2</v>
      </c>
      <c r="E2568" s="1278">
        <f t="shared" si="332"/>
        <v>0.66666666666666663</v>
      </c>
      <c r="F2568" s="1282">
        <v>3</v>
      </c>
      <c r="G2568" s="1283">
        <v>1</v>
      </c>
      <c r="H2568" s="1280">
        <f t="shared" si="333"/>
        <v>0.33333333333333331</v>
      </c>
      <c r="I2568" s="1214">
        <f>+C2568+F2568</f>
        <v>6</v>
      </c>
      <c r="J2568" s="860">
        <f t="shared" si="335"/>
        <v>3</v>
      </c>
      <c r="K2568" s="1217">
        <f t="shared" si="334"/>
        <v>0.5</v>
      </c>
      <c r="L2568" s="711"/>
      <c r="M2568" s="711"/>
    </row>
    <row r="2569" spans="1:13" ht="24.95" customHeight="1">
      <c r="A2569" s="730"/>
      <c r="B2569" s="1292" t="s">
        <v>2</v>
      </c>
      <c r="C2569" s="1273">
        <f t="shared" ref="C2569:J2569" si="337">SUM(C2505:C2568)</f>
        <v>7456</v>
      </c>
      <c r="D2569" s="1273">
        <f t="shared" si="337"/>
        <v>2961</v>
      </c>
      <c r="E2569" s="1278">
        <f t="shared" si="332"/>
        <v>0.39712982832618027</v>
      </c>
      <c r="F2569" s="1273">
        <f t="shared" si="337"/>
        <v>903</v>
      </c>
      <c r="G2569" s="1274">
        <f t="shared" si="337"/>
        <v>445</v>
      </c>
      <c r="H2569" s="1280">
        <f t="shared" si="333"/>
        <v>0.49280177187153934</v>
      </c>
      <c r="I2569" s="1273">
        <f t="shared" si="337"/>
        <v>8354</v>
      </c>
      <c r="J2569" s="1273">
        <f t="shared" si="337"/>
        <v>3406</v>
      </c>
      <c r="K2569" s="1217">
        <f t="shared" si="334"/>
        <v>0.40770888197270766</v>
      </c>
      <c r="L2569" s="711"/>
      <c r="M2569" s="711"/>
    </row>
    <row r="2570" spans="1:13" ht="24.95" customHeight="1">
      <c r="A2570" s="730"/>
      <c r="B2570" s="1292" t="s">
        <v>5191</v>
      </c>
      <c r="C2570" s="1273">
        <f t="shared" ref="C2570:J2570" si="338">+C2503+C2569</f>
        <v>14299</v>
      </c>
      <c r="D2570" s="1273">
        <f t="shared" si="338"/>
        <v>6390</v>
      </c>
      <c r="E2570" s="1278">
        <f t="shared" ref="E2570" si="339">+D2570/C2570</f>
        <v>0.44688439751031539</v>
      </c>
      <c r="F2570" s="1273">
        <f t="shared" si="338"/>
        <v>74444</v>
      </c>
      <c r="G2570" s="1274">
        <f t="shared" si="338"/>
        <v>40605</v>
      </c>
      <c r="H2570" s="1280">
        <f t="shared" ref="H2570" si="340">+G2570/F2570</f>
        <v>0.54544355488689489</v>
      </c>
      <c r="I2570" s="1273">
        <f t="shared" si="338"/>
        <v>88717</v>
      </c>
      <c r="J2570" s="1273">
        <f t="shared" si="338"/>
        <v>46995</v>
      </c>
      <c r="K2570" s="1217">
        <f t="shared" ref="K2570" si="341">+J2570/I2570</f>
        <v>0.52971809236110323</v>
      </c>
      <c r="L2570" s="711"/>
      <c r="M2570" s="711"/>
    </row>
    <row r="2571" spans="1:13" ht="24.95" customHeight="1">
      <c r="A2571" s="1240"/>
      <c r="B2571" s="1241" t="s">
        <v>3978</v>
      </c>
      <c r="C2571" s="2051"/>
      <c r="D2571" s="2051"/>
      <c r="E2571" s="2051"/>
      <c r="F2571" s="2051"/>
      <c r="G2571" s="2051"/>
      <c r="H2571" s="2051"/>
      <c r="I2571" s="2051"/>
      <c r="J2571" s="770"/>
      <c r="K2571" s="1217"/>
      <c r="L2571" s="711"/>
      <c r="M2571" s="711"/>
    </row>
    <row r="2572" spans="1:13" ht="24.95" customHeight="1">
      <c r="A2572" s="1293">
        <v>130207</v>
      </c>
      <c r="B2572" s="1294" t="s">
        <v>2390</v>
      </c>
      <c r="C2572" s="1273"/>
      <c r="D2572" s="1273"/>
      <c r="E2572" s="1295"/>
      <c r="F2572" s="1227">
        <v>2</v>
      </c>
      <c r="G2572" s="1285"/>
      <c r="H2572" s="1296"/>
      <c r="I2572" s="1285">
        <f t="shared" ref="I2572:I2595" si="342">+C2572+F2572</f>
        <v>2</v>
      </c>
      <c r="J2572" s="860">
        <f>+G2572</f>
        <v>0</v>
      </c>
      <c r="K2572" s="1217">
        <f>+J2572/I2572</f>
        <v>0</v>
      </c>
      <c r="L2572" s="711"/>
      <c r="M2572" s="711"/>
    </row>
    <row r="2573" spans="1:13" ht="24.95" customHeight="1">
      <c r="A2573" s="456" t="s">
        <v>2395</v>
      </c>
      <c r="B2573" s="452" t="s">
        <v>2396</v>
      </c>
      <c r="C2573" s="1226"/>
      <c r="D2573" s="1226"/>
      <c r="E2573" s="1278"/>
      <c r="F2573" s="1227">
        <v>3</v>
      </c>
      <c r="G2573" s="1285"/>
      <c r="H2573" s="1296"/>
      <c r="I2573" s="1285">
        <f t="shared" si="342"/>
        <v>3</v>
      </c>
      <c r="J2573" s="860">
        <f t="shared" ref="J2573:J2595" si="343">+G2573</f>
        <v>0</v>
      </c>
      <c r="K2573" s="1217">
        <f t="shared" ref="K2573:K2599" si="344">+J2573/I2573</f>
        <v>0</v>
      </c>
      <c r="L2573" s="711"/>
      <c r="M2573" s="711"/>
    </row>
    <row r="2574" spans="1:13" ht="24.95" customHeight="1">
      <c r="A2574" s="456" t="s">
        <v>2401</v>
      </c>
      <c r="B2574" s="1246" t="s">
        <v>2402</v>
      </c>
      <c r="C2574" s="1226"/>
      <c r="D2574" s="1226"/>
      <c r="E2574" s="1278"/>
      <c r="F2574" s="1227">
        <v>2</v>
      </c>
      <c r="G2574" s="1285"/>
      <c r="H2574" s="1296"/>
      <c r="I2574" s="1285">
        <f t="shared" si="342"/>
        <v>2</v>
      </c>
      <c r="J2574" s="860">
        <f t="shared" si="343"/>
        <v>0</v>
      </c>
      <c r="K2574" s="1217">
        <f t="shared" si="344"/>
        <v>0</v>
      </c>
      <c r="L2574" s="711"/>
      <c r="M2574" s="711"/>
    </row>
    <row r="2575" spans="1:13" ht="24.95" customHeight="1">
      <c r="A2575" s="456" t="s">
        <v>2805</v>
      </c>
      <c r="B2575" s="452" t="s">
        <v>3547</v>
      </c>
      <c r="C2575" s="1226"/>
      <c r="D2575" s="1226"/>
      <c r="E2575" s="1278"/>
      <c r="F2575" s="1227">
        <v>3</v>
      </c>
      <c r="G2575" s="1285"/>
      <c r="H2575" s="1296"/>
      <c r="I2575" s="1285">
        <f t="shared" si="342"/>
        <v>3</v>
      </c>
      <c r="J2575" s="860">
        <f t="shared" si="343"/>
        <v>0</v>
      </c>
      <c r="K2575" s="1217">
        <f t="shared" si="344"/>
        <v>0</v>
      </c>
      <c r="L2575" s="711"/>
      <c r="M2575" s="711"/>
    </row>
    <row r="2576" spans="1:13" ht="24.95" customHeight="1">
      <c r="A2576" s="456" t="s">
        <v>2821</v>
      </c>
      <c r="B2576" s="1271" t="s">
        <v>2822</v>
      </c>
      <c r="C2576" s="1226"/>
      <c r="D2576" s="1226"/>
      <c r="E2576" s="1278"/>
      <c r="F2576" s="1227">
        <v>2</v>
      </c>
      <c r="G2576" s="1285"/>
      <c r="H2576" s="1296"/>
      <c r="I2576" s="1285">
        <f t="shared" si="342"/>
        <v>2</v>
      </c>
      <c r="J2576" s="860">
        <f t="shared" si="343"/>
        <v>0</v>
      </c>
      <c r="K2576" s="1217">
        <f t="shared" si="344"/>
        <v>0</v>
      </c>
      <c r="L2576" s="711"/>
      <c r="M2576" s="711"/>
    </row>
    <row r="2577" spans="1:13" ht="24.95" customHeight="1">
      <c r="A2577" s="456" t="s">
        <v>5192</v>
      </c>
      <c r="B2577" s="1271" t="s">
        <v>5193</v>
      </c>
      <c r="C2577" s="1226"/>
      <c r="D2577" s="1226"/>
      <c r="E2577" s="1278"/>
      <c r="F2577" s="1227">
        <v>2</v>
      </c>
      <c r="G2577" s="1285"/>
      <c r="H2577" s="1296"/>
      <c r="I2577" s="1285">
        <f t="shared" si="342"/>
        <v>2</v>
      </c>
      <c r="J2577" s="860">
        <f t="shared" si="343"/>
        <v>0</v>
      </c>
      <c r="K2577" s="1217">
        <f t="shared" si="344"/>
        <v>0</v>
      </c>
      <c r="L2577" s="711"/>
      <c r="M2577" s="711"/>
    </row>
    <row r="2578" spans="1:13" ht="24.95" customHeight="1">
      <c r="A2578" s="456" t="s">
        <v>5194</v>
      </c>
      <c r="B2578" s="1271" t="s">
        <v>5195</v>
      </c>
      <c r="C2578" s="1226"/>
      <c r="D2578" s="1226"/>
      <c r="E2578" s="1278"/>
      <c r="F2578" s="1227">
        <v>2</v>
      </c>
      <c r="G2578" s="1285"/>
      <c r="H2578" s="1296"/>
      <c r="I2578" s="1285">
        <f t="shared" si="342"/>
        <v>2</v>
      </c>
      <c r="J2578" s="860">
        <f t="shared" si="343"/>
        <v>0</v>
      </c>
      <c r="K2578" s="1217">
        <f t="shared" si="344"/>
        <v>0</v>
      </c>
      <c r="L2578" s="711"/>
      <c r="M2578" s="711"/>
    </row>
    <row r="2579" spans="1:13" ht="24.95" customHeight="1">
      <c r="A2579" s="456" t="s">
        <v>2439</v>
      </c>
      <c r="B2579" s="1271" t="s">
        <v>2440</v>
      </c>
      <c r="C2579" s="1226"/>
      <c r="D2579" s="1226"/>
      <c r="E2579" s="1278"/>
      <c r="F2579" s="1227">
        <v>2</v>
      </c>
      <c r="G2579" s="1285"/>
      <c r="H2579" s="1296"/>
      <c r="I2579" s="1285">
        <f t="shared" si="342"/>
        <v>2</v>
      </c>
      <c r="J2579" s="860">
        <f t="shared" si="343"/>
        <v>0</v>
      </c>
      <c r="K2579" s="1217">
        <f t="shared" si="344"/>
        <v>0</v>
      </c>
      <c r="L2579" s="711"/>
      <c r="M2579" s="711"/>
    </row>
    <row r="2580" spans="1:13" ht="24.95" customHeight="1">
      <c r="A2580" s="456" t="s">
        <v>4393</v>
      </c>
      <c r="B2580" s="1271" t="s">
        <v>4394</v>
      </c>
      <c r="C2580" s="1226"/>
      <c r="D2580" s="1226"/>
      <c r="E2580" s="1278"/>
      <c r="F2580" s="1227">
        <v>2</v>
      </c>
      <c r="G2580" s="1285"/>
      <c r="H2580" s="1296"/>
      <c r="I2580" s="1285">
        <f t="shared" si="342"/>
        <v>2</v>
      </c>
      <c r="J2580" s="860">
        <f t="shared" si="343"/>
        <v>0</v>
      </c>
      <c r="K2580" s="1217">
        <f t="shared" si="344"/>
        <v>0</v>
      </c>
      <c r="L2580" s="711"/>
      <c r="M2580" s="711"/>
    </row>
    <row r="2581" spans="1:13" ht="24.95" customHeight="1">
      <c r="A2581" s="456" t="s">
        <v>3192</v>
      </c>
      <c r="B2581" s="1271" t="s">
        <v>3193</v>
      </c>
      <c r="C2581" s="1226"/>
      <c r="D2581" s="1226"/>
      <c r="E2581" s="1278"/>
      <c r="F2581" s="1227">
        <v>2</v>
      </c>
      <c r="G2581" s="1285"/>
      <c r="H2581" s="1296"/>
      <c r="I2581" s="1285">
        <f t="shared" si="342"/>
        <v>2</v>
      </c>
      <c r="J2581" s="860">
        <f t="shared" si="343"/>
        <v>0</v>
      </c>
      <c r="K2581" s="1217">
        <f t="shared" si="344"/>
        <v>0</v>
      </c>
      <c r="L2581" s="711"/>
      <c r="M2581" s="711"/>
    </row>
    <row r="2582" spans="1:13" ht="24.95" customHeight="1">
      <c r="A2582" s="456" t="s">
        <v>3084</v>
      </c>
      <c r="B2582" s="1271" t="s">
        <v>2470</v>
      </c>
      <c r="C2582" s="1226"/>
      <c r="D2582" s="1226"/>
      <c r="E2582" s="1278"/>
      <c r="F2582" s="1227">
        <v>2</v>
      </c>
      <c r="G2582" s="1285"/>
      <c r="H2582" s="1296"/>
      <c r="I2582" s="1285">
        <f t="shared" si="342"/>
        <v>2</v>
      </c>
      <c r="J2582" s="860">
        <f t="shared" si="343"/>
        <v>0</v>
      </c>
      <c r="K2582" s="1217">
        <f t="shared" si="344"/>
        <v>0</v>
      </c>
      <c r="L2582" s="711"/>
      <c r="M2582" s="711"/>
    </row>
    <row r="2583" spans="1:13" ht="24.95" customHeight="1">
      <c r="A2583" s="456" t="s">
        <v>2479</v>
      </c>
      <c r="B2583" s="1271" t="s">
        <v>2480</v>
      </c>
      <c r="C2583" s="1226"/>
      <c r="D2583" s="1226"/>
      <c r="E2583" s="1278"/>
      <c r="F2583" s="1227">
        <v>2</v>
      </c>
      <c r="G2583" s="1285"/>
      <c r="H2583" s="1296"/>
      <c r="I2583" s="1285">
        <f t="shared" si="342"/>
        <v>2</v>
      </c>
      <c r="J2583" s="860">
        <f t="shared" si="343"/>
        <v>0</v>
      </c>
      <c r="K2583" s="1217">
        <f t="shared" si="344"/>
        <v>0</v>
      </c>
      <c r="L2583" s="711"/>
      <c r="M2583" s="711"/>
    </row>
    <row r="2584" spans="1:13" ht="24.95" customHeight="1">
      <c r="A2584" s="456" t="s">
        <v>3194</v>
      </c>
      <c r="B2584" s="1271" t="s">
        <v>2482</v>
      </c>
      <c r="C2584" s="1226"/>
      <c r="D2584" s="1226"/>
      <c r="E2584" s="1278"/>
      <c r="F2584" s="1227">
        <v>2</v>
      </c>
      <c r="G2584" s="1285"/>
      <c r="H2584" s="1296"/>
      <c r="I2584" s="1285">
        <f t="shared" si="342"/>
        <v>2</v>
      </c>
      <c r="J2584" s="860">
        <f t="shared" si="343"/>
        <v>0</v>
      </c>
      <c r="K2584" s="1217">
        <f t="shared" si="344"/>
        <v>0</v>
      </c>
      <c r="L2584" s="711"/>
      <c r="M2584" s="711"/>
    </row>
    <row r="2585" spans="1:13" ht="24.95" customHeight="1">
      <c r="A2585" s="456" t="s">
        <v>3041</v>
      </c>
      <c r="B2585" s="1271" t="s">
        <v>3042</v>
      </c>
      <c r="C2585" s="1226"/>
      <c r="D2585" s="1226"/>
      <c r="E2585" s="1278"/>
      <c r="F2585" s="1227">
        <v>3</v>
      </c>
      <c r="G2585" s="1285"/>
      <c r="H2585" s="1296"/>
      <c r="I2585" s="1285">
        <f t="shared" si="342"/>
        <v>3</v>
      </c>
      <c r="J2585" s="860">
        <f t="shared" si="343"/>
        <v>0</v>
      </c>
      <c r="K2585" s="1217">
        <f t="shared" si="344"/>
        <v>0</v>
      </c>
      <c r="L2585" s="711"/>
      <c r="M2585" s="711"/>
    </row>
    <row r="2586" spans="1:13" ht="24.95" customHeight="1">
      <c r="A2586" s="456" t="s">
        <v>2569</v>
      </c>
      <c r="B2586" s="1271" t="s">
        <v>5196</v>
      </c>
      <c r="C2586" s="1226"/>
      <c r="D2586" s="1226"/>
      <c r="E2586" s="1278"/>
      <c r="F2586" s="1227">
        <v>2</v>
      </c>
      <c r="G2586" s="1285"/>
      <c r="H2586" s="1296"/>
      <c r="I2586" s="1285">
        <f t="shared" si="342"/>
        <v>2</v>
      </c>
      <c r="J2586" s="860">
        <f t="shared" si="343"/>
        <v>0</v>
      </c>
      <c r="K2586" s="1217">
        <f t="shared" si="344"/>
        <v>0</v>
      </c>
      <c r="L2586" s="711"/>
      <c r="M2586" s="711"/>
    </row>
    <row r="2587" spans="1:13" ht="24.95" customHeight="1">
      <c r="A2587" s="456" t="s">
        <v>2620</v>
      </c>
      <c r="B2587" s="1271" t="s">
        <v>2621</v>
      </c>
      <c r="C2587" s="1226"/>
      <c r="D2587" s="1226"/>
      <c r="E2587" s="1278"/>
      <c r="F2587" s="1227">
        <v>5</v>
      </c>
      <c r="G2587" s="1285"/>
      <c r="H2587" s="1296"/>
      <c r="I2587" s="1285">
        <f t="shared" si="342"/>
        <v>5</v>
      </c>
      <c r="J2587" s="860">
        <f t="shared" si="343"/>
        <v>0</v>
      </c>
      <c r="K2587" s="1217">
        <f t="shared" si="344"/>
        <v>0</v>
      </c>
      <c r="L2587" s="711"/>
      <c r="M2587" s="711"/>
    </row>
    <row r="2588" spans="1:13" ht="24.95" customHeight="1">
      <c r="A2588" s="1240" t="s">
        <v>2624</v>
      </c>
      <c r="B2588" s="1272" t="s">
        <v>5189</v>
      </c>
      <c r="C2588" s="1226"/>
      <c r="D2588" s="1226"/>
      <c r="E2588" s="1278"/>
      <c r="F2588" s="1227">
        <v>30</v>
      </c>
      <c r="G2588" s="1285"/>
      <c r="H2588" s="1296"/>
      <c r="I2588" s="1285">
        <f t="shared" si="342"/>
        <v>30</v>
      </c>
      <c r="J2588" s="860">
        <f t="shared" si="343"/>
        <v>0</v>
      </c>
      <c r="K2588" s="1217">
        <f t="shared" si="344"/>
        <v>0</v>
      </c>
      <c r="L2588" s="711"/>
      <c r="M2588" s="711"/>
    </row>
    <row r="2589" spans="1:13" ht="24.95" customHeight="1">
      <c r="A2589" s="1240" t="s">
        <v>2629</v>
      </c>
      <c r="B2589" s="1272" t="s">
        <v>2630</v>
      </c>
      <c r="C2589" s="1226"/>
      <c r="D2589" s="1226"/>
      <c r="E2589" s="1278"/>
      <c r="F2589" s="1227">
        <v>5</v>
      </c>
      <c r="G2589" s="1285"/>
      <c r="H2589" s="1296"/>
      <c r="I2589" s="1285">
        <f t="shared" si="342"/>
        <v>5</v>
      </c>
      <c r="J2589" s="860">
        <f t="shared" si="343"/>
        <v>0</v>
      </c>
      <c r="K2589" s="1217">
        <f t="shared" si="344"/>
        <v>0</v>
      </c>
      <c r="L2589" s="711"/>
      <c r="M2589" s="711"/>
    </row>
    <row r="2590" spans="1:13" ht="24.95" customHeight="1">
      <c r="A2590" s="1240" t="s">
        <v>2423</v>
      </c>
      <c r="B2590" s="1272" t="s">
        <v>5197</v>
      </c>
      <c r="C2590" s="1226"/>
      <c r="D2590" s="1226"/>
      <c r="E2590" s="1278"/>
      <c r="F2590" s="1227">
        <v>5</v>
      </c>
      <c r="G2590" s="1285"/>
      <c r="H2590" s="1296"/>
      <c r="I2590" s="1285">
        <f t="shared" si="342"/>
        <v>5</v>
      </c>
      <c r="J2590" s="860">
        <f t="shared" si="343"/>
        <v>0</v>
      </c>
      <c r="K2590" s="1217">
        <f t="shared" si="344"/>
        <v>0</v>
      </c>
      <c r="L2590" s="711"/>
      <c r="M2590" s="711"/>
    </row>
    <row r="2591" spans="1:13" ht="24.95" customHeight="1">
      <c r="A2591" s="1235" t="s">
        <v>2631</v>
      </c>
      <c r="B2591" s="1233" t="s">
        <v>2632</v>
      </c>
      <c r="C2591" s="1226"/>
      <c r="D2591" s="1226"/>
      <c r="E2591" s="1278"/>
      <c r="F2591" s="1227">
        <v>15</v>
      </c>
      <c r="G2591" s="1285"/>
      <c r="H2591" s="1296"/>
      <c r="I2591" s="1285">
        <f t="shared" si="342"/>
        <v>15</v>
      </c>
      <c r="J2591" s="860">
        <f t="shared" si="343"/>
        <v>0</v>
      </c>
      <c r="K2591" s="1217">
        <f t="shared" si="344"/>
        <v>0</v>
      </c>
      <c r="L2591" s="711"/>
      <c r="M2591" s="711"/>
    </row>
    <row r="2592" spans="1:13" ht="24.95" customHeight="1">
      <c r="A2592" s="1235" t="s">
        <v>2178</v>
      </c>
      <c r="B2592" s="1233" t="s">
        <v>2179</v>
      </c>
      <c r="C2592" s="1226"/>
      <c r="D2592" s="1226"/>
      <c r="E2592" s="1278"/>
      <c r="F2592" s="1227">
        <v>5</v>
      </c>
      <c r="G2592" s="1285"/>
      <c r="H2592" s="1296"/>
      <c r="I2592" s="1285">
        <f t="shared" si="342"/>
        <v>5</v>
      </c>
      <c r="J2592" s="860">
        <f t="shared" si="343"/>
        <v>0</v>
      </c>
      <c r="K2592" s="1217">
        <f t="shared" si="344"/>
        <v>0</v>
      </c>
      <c r="L2592" s="711"/>
      <c r="M2592" s="711"/>
    </row>
    <row r="2593" spans="1:13" ht="24.95" customHeight="1">
      <c r="A2593" s="1235" t="s">
        <v>2633</v>
      </c>
      <c r="B2593" s="1288" t="s">
        <v>2965</v>
      </c>
      <c r="C2593" s="1226"/>
      <c r="D2593" s="1289"/>
      <c r="E2593" s="1297"/>
      <c r="F2593" s="1290">
        <v>2</v>
      </c>
      <c r="G2593" s="1227"/>
      <c r="H2593" s="1280"/>
      <c r="I2593" s="1285">
        <f t="shared" si="342"/>
        <v>2</v>
      </c>
      <c r="J2593" s="860">
        <f t="shared" si="343"/>
        <v>0</v>
      </c>
      <c r="K2593" s="1217">
        <f t="shared" si="344"/>
        <v>0</v>
      </c>
      <c r="L2593" s="711"/>
      <c r="M2593" s="711"/>
    </row>
    <row r="2594" spans="1:13" ht="24.95" customHeight="1">
      <c r="A2594" s="1235" t="s">
        <v>2657</v>
      </c>
      <c r="B2594" s="1288" t="s">
        <v>5190</v>
      </c>
      <c r="C2594" s="1226"/>
      <c r="D2594" s="1289"/>
      <c r="E2594" s="1297"/>
      <c r="F2594" s="1290">
        <v>2</v>
      </c>
      <c r="G2594" s="1227"/>
      <c r="H2594" s="1280"/>
      <c r="I2594" s="1285">
        <f t="shared" si="342"/>
        <v>2</v>
      </c>
      <c r="J2594" s="860">
        <f t="shared" si="343"/>
        <v>0</v>
      </c>
      <c r="K2594" s="1217">
        <f t="shared" si="344"/>
        <v>0</v>
      </c>
      <c r="L2594" s="711"/>
      <c r="M2594" s="711"/>
    </row>
    <row r="2595" spans="1:13" ht="24.95" customHeight="1">
      <c r="A2595" s="730" t="s">
        <v>2667</v>
      </c>
      <c r="B2595" s="792" t="s">
        <v>5162</v>
      </c>
      <c r="C2595" s="1226"/>
      <c r="D2595" s="1226"/>
      <c r="E2595" s="1278"/>
      <c r="F2595" s="1282">
        <v>2</v>
      </c>
      <c r="G2595" s="1298"/>
      <c r="H2595" s="1299"/>
      <c r="I2595" s="1285">
        <f t="shared" si="342"/>
        <v>2</v>
      </c>
      <c r="J2595" s="860">
        <f t="shared" si="343"/>
        <v>0</v>
      </c>
      <c r="K2595" s="1217">
        <f t="shared" si="344"/>
        <v>0</v>
      </c>
      <c r="L2595" s="711"/>
      <c r="M2595" s="711"/>
    </row>
    <row r="2596" spans="1:13" ht="24.95" customHeight="1">
      <c r="A2596" s="1300"/>
      <c r="B2596" s="1301" t="s">
        <v>3157</v>
      </c>
      <c r="C2596" s="1273">
        <f t="shared" ref="C2596:J2596" si="345">SUM(C2572:C2595)</f>
        <v>0</v>
      </c>
      <c r="D2596" s="1273">
        <f t="shared" si="345"/>
        <v>0</v>
      </c>
      <c r="E2596" s="1295"/>
      <c r="F2596" s="1273">
        <f t="shared" si="345"/>
        <v>104</v>
      </c>
      <c r="G2596" s="1273">
        <f t="shared" si="345"/>
        <v>0</v>
      </c>
      <c r="H2596" s="1295"/>
      <c r="I2596" s="1274">
        <f t="shared" si="345"/>
        <v>104</v>
      </c>
      <c r="J2596" s="1274">
        <f t="shared" si="345"/>
        <v>0</v>
      </c>
      <c r="K2596" s="1217">
        <f t="shared" si="344"/>
        <v>0</v>
      </c>
      <c r="L2596" s="711"/>
      <c r="M2596" s="711"/>
    </row>
    <row r="2597" spans="1:13" ht="24.95" customHeight="1">
      <c r="A2597" s="1300"/>
      <c r="B2597" s="1301" t="s">
        <v>3113</v>
      </c>
      <c r="C2597" s="1302">
        <f t="shared" ref="C2597:J2597" si="346">+C2570</f>
        <v>14299</v>
      </c>
      <c r="D2597" s="1302">
        <f t="shared" si="346"/>
        <v>6390</v>
      </c>
      <c r="E2597" s="1303"/>
      <c r="F2597" s="1304">
        <f t="shared" si="346"/>
        <v>74444</v>
      </c>
      <c r="G2597" s="1304">
        <f t="shared" si="346"/>
        <v>40605</v>
      </c>
      <c r="H2597" s="1305"/>
      <c r="I2597" s="1306">
        <f t="shared" si="346"/>
        <v>88717</v>
      </c>
      <c r="J2597" s="1306">
        <f t="shared" si="346"/>
        <v>46995</v>
      </c>
      <c r="K2597" s="1217">
        <f t="shared" si="344"/>
        <v>0.52971809236110323</v>
      </c>
      <c r="L2597" s="711"/>
      <c r="M2597" s="711"/>
    </row>
    <row r="2598" spans="1:13" ht="24.95" customHeight="1">
      <c r="A2598" s="1300"/>
      <c r="B2598" s="1301" t="s">
        <v>5198</v>
      </c>
      <c r="C2598" s="1307">
        <f t="shared" ref="C2598:J2598" si="347">+C2305</f>
        <v>1299</v>
      </c>
      <c r="D2598" s="1307">
        <f t="shared" si="347"/>
        <v>547</v>
      </c>
      <c r="E2598" s="1308"/>
      <c r="F2598" s="1309">
        <f t="shared" si="347"/>
        <v>821</v>
      </c>
      <c r="G2598" s="1309">
        <f t="shared" si="347"/>
        <v>245</v>
      </c>
      <c r="H2598" s="1310"/>
      <c r="I2598" s="1306">
        <f t="shared" si="347"/>
        <v>2099</v>
      </c>
      <c r="J2598" s="1306">
        <f t="shared" si="347"/>
        <v>792</v>
      </c>
      <c r="K2598" s="1217">
        <f t="shared" si="344"/>
        <v>0.37732253454025727</v>
      </c>
      <c r="L2598" s="711"/>
      <c r="M2598" s="711"/>
    </row>
    <row r="2599" spans="1:13" ht="24.95" customHeight="1">
      <c r="A2599" s="1210"/>
      <c r="B2599" s="1311" t="s">
        <v>5199</v>
      </c>
      <c r="C2599" s="1312">
        <f t="shared" ref="C2599:J2599" si="348">+C2596+C2597+C2598</f>
        <v>15598</v>
      </c>
      <c r="D2599" s="1312">
        <f t="shared" si="348"/>
        <v>6937</v>
      </c>
      <c r="E2599" s="1313"/>
      <c r="F2599" s="1314">
        <f t="shared" si="348"/>
        <v>75369</v>
      </c>
      <c r="G2599" s="1314">
        <f t="shared" si="348"/>
        <v>40850</v>
      </c>
      <c r="H2599" s="1315"/>
      <c r="I2599" s="1316">
        <f t="shared" si="348"/>
        <v>90920</v>
      </c>
      <c r="J2599" s="1316">
        <f t="shared" si="348"/>
        <v>47787</v>
      </c>
      <c r="K2599" s="1217">
        <f t="shared" si="344"/>
        <v>0.5255939287285526</v>
      </c>
      <c r="L2599" s="711"/>
      <c r="M2599" s="711"/>
    </row>
    <row r="2600" spans="1:13" ht="24.95" customHeight="1">
      <c r="A2600" s="1317" t="s">
        <v>149</v>
      </c>
      <c r="B2600" s="1317"/>
      <c r="C2600" s="1317"/>
      <c r="D2600" s="1317"/>
      <c r="E2600" s="1318"/>
      <c r="F2600" s="1317"/>
      <c r="G2600" s="1317"/>
      <c r="H2600" s="1318"/>
      <c r="I2600" s="1317"/>
      <c r="J2600" s="711"/>
      <c r="K2600" s="910"/>
      <c r="L2600" s="711"/>
      <c r="M2600" s="711"/>
    </row>
    <row r="2601" spans="1:13" ht="24.95" customHeight="1">
      <c r="A2601" s="2052" t="s">
        <v>208</v>
      </c>
      <c r="B2601" s="2053"/>
      <c r="C2601" s="1968" t="s">
        <v>1852</v>
      </c>
      <c r="D2601" s="1969"/>
      <c r="E2601" s="1969"/>
      <c r="F2601" s="1969"/>
      <c r="G2601" s="1969"/>
      <c r="H2601" s="1969"/>
      <c r="I2601" s="1969"/>
      <c r="J2601" s="1969"/>
      <c r="K2601" s="1969"/>
    </row>
    <row r="2602" spans="1:13" ht="24.95" customHeight="1">
      <c r="A2602" s="2040" t="s">
        <v>209</v>
      </c>
      <c r="B2602" s="2041"/>
      <c r="C2602" s="1958">
        <v>17878735</v>
      </c>
      <c r="D2602" s="1959"/>
      <c r="E2602" s="1959"/>
      <c r="F2602" s="1959"/>
      <c r="G2602" s="1959"/>
      <c r="H2602" s="1959"/>
      <c r="I2602" s="1959"/>
      <c r="J2602" s="1959"/>
      <c r="K2602" s="1959"/>
    </row>
    <row r="2603" spans="1:13" ht="24.95" customHeight="1">
      <c r="A2603" s="2040" t="s">
        <v>211</v>
      </c>
      <c r="B2603" s="2041"/>
      <c r="C2603" s="1960" t="s">
        <v>2037</v>
      </c>
      <c r="D2603" s="1961"/>
      <c r="E2603" s="1961"/>
      <c r="F2603" s="1961"/>
      <c r="G2603" s="1961"/>
      <c r="H2603" s="1961"/>
      <c r="I2603" s="1961"/>
      <c r="J2603" s="1961"/>
      <c r="K2603" s="1961"/>
    </row>
    <row r="2604" spans="1:13" ht="24.95" customHeight="1">
      <c r="A2604" s="2040" t="s">
        <v>210</v>
      </c>
      <c r="B2604" s="2041"/>
      <c r="C2604" s="2042" t="s">
        <v>331</v>
      </c>
      <c r="D2604" s="2043"/>
      <c r="E2604" s="2043"/>
      <c r="F2604" s="2043"/>
      <c r="G2604" s="2043"/>
      <c r="H2604" s="2043"/>
      <c r="I2604" s="2043"/>
      <c r="J2604" s="2043"/>
      <c r="K2604" s="2043"/>
    </row>
    <row r="2605" spans="1:13" ht="24.95" customHeight="1">
      <c r="A2605" s="2044" t="s">
        <v>251</v>
      </c>
      <c r="B2605" s="2045"/>
      <c r="C2605" s="2046" t="s">
        <v>1832</v>
      </c>
      <c r="D2605" s="2047"/>
      <c r="E2605" s="2047"/>
      <c r="F2605" s="2047"/>
      <c r="G2605" s="2047"/>
      <c r="H2605" s="2047"/>
      <c r="I2605" s="2047"/>
      <c r="J2605" s="2047"/>
      <c r="K2605" s="2047"/>
    </row>
    <row r="2606" spans="1:13" ht="24.95" customHeight="1">
      <c r="A2606" s="1955" t="s">
        <v>122</v>
      </c>
      <c r="B2606" s="2039" t="s">
        <v>253</v>
      </c>
      <c r="C2606" s="1935" t="s">
        <v>2038</v>
      </c>
      <c r="D2606" s="1935"/>
      <c r="E2606" s="1935"/>
      <c r="F2606" s="1935" t="s">
        <v>2039</v>
      </c>
      <c r="G2606" s="1935"/>
      <c r="H2606" s="1935"/>
      <c r="I2606" s="1935" t="s">
        <v>90</v>
      </c>
      <c r="J2606" s="1935"/>
      <c r="K2606" s="1935"/>
    </row>
    <row r="2607" spans="1:13" ht="24.95" customHeight="1">
      <c r="A2607" s="1955"/>
      <c r="B2607" s="2039"/>
      <c r="C2607" s="545" t="s">
        <v>368</v>
      </c>
      <c r="D2607" s="547" t="s">
        <v>2040</v>
      </c>
      <c r="E2607" s="546" t="s">
        <v>2041</v>
      </c>
      <c r="F2607" s="545" t="s">
        <v>368</v>
      </c>
      <c r="G2607" s="547" t="s">
        <v>2040</v>
      </c>
      <c r="H2607" s="546" t="s">
        <v>2041</v>
      </c>
      <c r="I2607" s="545" t="s">
        <v>368</v>
      </c>
      <c r="J2607" s="547" t="s">
        <v>2040</v>
      </c>
      <c r="K2607" s="546" t="s">
        <v>2041</v>
      </c>
    </row>
    <row r="2608" spans="1:13" ht="24.95" customHeight="1">
      <c r="A2608" s="2030" t="s">
        <v>2372</v>
      </c>
      <c r="B2608" s="2031"/>
      <c r="C2608" s="2031"/>
      <c r="D2608" s="2031"/>
      <c r="E2608" s="2031"/>
      <c r="F2608" s="2031"/>
      <c r="G2608" s="2031"/>
      <c r="H2608" s="2031"/>
      <c r="I2608" s="2031"/>
      <c r="J2608" s="2031"/>
      <c r="K2608" s="2031"/>
    </row>
    <row r="2609" spans="1:11" ht="24.95" customHeight="1">
      <c r="A2609" s="1320" t="s">
        <v>5200</v>
      </c>
      <c r="B2609" s="1256" t="s">
        <v>5201</v>
      </c>
      <c r="C2609" s="1321">
        <v>1</v>
      </c>
      <c r="D2609" s="1321"/>
      <c r="E2609" s="1322">
        <f>+D2609/C2609</f>
        <v>0</v>
      </c>
      <c r="F2609" s="1321">
        <v>3</v>
      </c>
      <c r="G2609" s="1321"/>
      <c r="H2609" s="1322">
        <f>+G2609/F2609</f>
        <v>0</v>
      </c>
      <c r="I2609" s="1323">
        <f t="shared" ref="I2609:J2637" si="349">+C2609+F2609</f>
        <v>4</v>
      </c>
      <c r="J2609" s="149">
        <f>+D2609+G2609</f>
        <v>0</v>
      </c>
      <c r="K2609" s="650">
        <f>+J2609/I2609</f>
        <v>0</v>
      </c>
    </row>
    <row r="2610" spans="1:11" ht="24.95" customHeight="1">
      <c r="A2610" s="1320" t="s">
        <v>5202</v>
      </c>
      <c r="B2610" s="1256" t="s">
        <v>5203</v>
      </c>
      <c r="C2610" s="1321"/>
      <c r="D2610" s="1321"/>
      <c r="E2610" s="1322" t="e">
        <f t="shared" ref="E2610:E2673" si="350">+D2610/C2610</f>
        <v>#DIV/0!</v>
      </c>
      <c r="F2610" s="1321">
        <v>2</v>
      </c>
      <c r="G2610" s="1321"/>
      <c r="H2610" s="1322">
        <f t="shared" ref="H2610:H2673" si="351">+G2610/F2610</f>
        <v>0</v>
      </c>
      <c r="I2610" s="1323">
        <f t="shared" si="349"/>
        <v>2</v>
      </c>
      <c r="J2610" s="149">
        <f t="shared" si="349"/>
        <v>0</v>
      </c>
      <c r="K2610" s="650">
        <f t="shared" ref="K2610:K2673" si="352">+J2610/I2610</f>
        <v>0</v>
      </c>
    </row>
    <row r="2611" spans="1:11" ht="24.95" customHeight="1">
      <c r="A2611" s="1320" t="s">
        <v>2375</v>
      </c>
      <c r="B2611" s="1256" t="s">
        <v>5204</v>
      </c>
      <c r="C2611" s="1321"/>
      <c r="D2611" s="1321"/>
      <c r="E2611" s="1322" t="e">
        <f t="shared" si="350"/>
        <v>#DIV/0!</v>
      </c>
      <c r="F2611" s="1321">
        <v>1</v>
      </c>
      <c r="G2611" s="1321"/>
      <c r="H2611" s="1322">
        <f t="shared" si="351"/>
        <v>0</v>
      </c>
      <c r="I2611" s="1323">
        <f t="shared" si="349"/>
        <v>1</v>
      </c>
      <c r="J2611" s="149">
        <f t="shared" si="349"/>
        <v>0</v>
      </c>
      <c r="K2611" s="650">
        <f t="shared" si="352"/>
        <v>0</v>
      </c>
    </row>
    <row r="2612" spans="1:11" ht="24.95" customHeight="1">
      <c r="A2612" s="456" t="s">
        <v>3166</v>
      </c>
      <c r="B2612" s="452" t="s">
        <v>3209</v>
      </c>
      <c r="C2612" s="1324">
        <v>150</v>
      </c>
      <c r="D2612" s="1324">
        <v>75</v>
      </c>
      <c r="E2612" s="1322">
        <f t="shared" si="350"/>
        <v>0.5</v>
      </c>
      <c r="F2612" s="1324">
        <v>35</v>
      </c>
      <c r="G2612" s="1324">
        <v>12</v>
      </c>
      <c r="H2612" s="1322">
        <f t="shared" si="351"/>
        <v>0.34285714285714286</v>
      </c>
      <c r="I2612" s="1323">
        <f t="shared" si="349"/>
        <v>185</v>
      </c>
      <c r="J2612" s="149">
        <f t="shared" si="349"/>
        <v>87</v>
      </c>
      <c r="K2612" s="650">
        <f t="shared" si="352"/>
        <v>0.4702702702702703</v>
      </c>
    </row>
    <row r="2613" spans="1:11" ht="24.95" customHeight="1">
      <c r="A2613" s="1325" t="s">
        <v>5205</v>
      </c>
      <c r="B2613" s="1251" t="s">
        <v>3823</v>
      </c>
      <c r="C2613" s="1324">
        <v>1015</v>
      </c>
      <c r="D2613" s="1324">
        <v>621</v>
      </c>
      <c r="E2613" s="1322">
        <f t="shared" si="350"/>
        <v>0.61182266009852215</v>
      </c>
      <c r="F2613" s="1324">
        <v>20</v>
      </c>
      <c r="G2613" s="1324"/>
      <c r="H2613" s="1322">
        <f t="shared" si="351"/>
        <v>0</v>
      </c>
      <c r="I2613" s="1323">
        <f t="shared" si="349"/>
        <v>1035</v>
      </c>
      <c r="J2613" s="149">
        <f t="shared" si="349"/>
        <v>621</v>
      </c>
      <c r="K2613" s="650">
        <f t="shared" si="352"/>
        <v>0.6</v>
      </c>
    </row>
    <row r="2614" spans="1:11" ht="24.95" customHeight="1">
      <c r="A2614" s="1325" t="s">
        <v>5206</v>
      </c>
      <c r="B2614" s="1251" t="s">
        <v>5207</v>
      </c>
      <c r="C2614" s="1324">
        <v>1</v>
      </c>
      <c r="D2614" s="1324"/>
      <c r="E2614" s="1322">
        <f t="shared" si="350"/>
        <v>0</v>
      </c>
      <c r="F2614" s="1324"/>
      <c r="G2614" s="1324"/>
      <c r="H2614" s="1322" t="e">
        <f t="shared" si="351"/>
        <v>#DIV/0!</v>
      </c>
      <c r="I2614" s="1323">
        <f t="shared" si="349"/>
        <v>1</v>
      </c>
      <c r="J2614" s="149">
        <f t="shared" si="349"/>
        <v>0</v>
      </c>
      <c r="K2614" s="650">
        <f t="shared" si="352"/>
        <v>0</v>
      </c>
    </row>
    <row r="2615" spans="1:11" ht="24.95" customHeight="1">
      <c r="A2615" s="456" t="s">
        <v>5208</v>
      </c>
      <c r="B2615" s="452" t="s">
        <v>5209</v>
      </c>
      <c r="C2615" s="1324">
        <v>15</v>
      </c>
      <c r="D2615" s="1324">
        <v>9</v>
      </c>
      <c r="E2615" s="1322">
        <f t="shared" si="350"/>
        <v>0.6</v>
      </c>
      <c r="F2615" s="1324">
        <v>1</v>
      </c>
      <c r="G2615" s="1324"/>
      <c r="H2615" s="1322">
        <f t="shared" si="351"/>
        <v>0</v>
      </c>
      <c r="I2615" s="1323">
        <f t="shared" si="349"/>
        <v>16</v>
      </c>
      <c r="J2615" s="149">
        <f t="shared" si="349"/>
        <v>9</v>
      </c>
      <c r="K2615" s="650">
        <f t="shared" si="352"/>
        <v>0.5625</v>
      </c>
    </row>
    <row r="2616" spans="1:11" ht="24.95" customHeight="1">
      <c r="A2616" s="456" t="s">
        <v>3824</v>
      </c>
      <c r="B2616" s="1246" t="s">
        <v>3825</v>
      </c>
      <c r="C2616" s="1324">
        <v>25</v>
      </c>
      <c r="D2616" s="1324"/>
      <c r="E2616" s="1322">
        <f t="shared" si="350"/>
        <v>0</v>
      </c>
      <c r="F2616" s="1324">
        <v>1</v>
      </c>
      <c r="G2616" s="1324"/>
      <c r="H2616" s="1322">
        <f t="shared" si="351"/>
        <v>0</v>
      </c>
      <c r="I2616" s="1323">
        <f t="shared" si="349"/>
        <v>26</v>
      </c>
      <c r="J2616" s="149">
        <f t="shared" si="349"/>
        <v>0</v>
      </c>
      <c r="K2616" s="650">
        <f t="shared" si="352"/>
        <v>0</v>
      </c>
    </row>
    <row r="2617" spans="1:11" ht="24.95" customHeight="1">
      <c r="A2617" s="456" t="s">
        <v>2381</v>
      </c>
      <c r="B2617" s="1246" t="s">
        <v>2382</v>
      </c>
      <c r="C2617" s="1324">
        <v>10</v>
      </c>
      <c r="D2617" s="1324"/>
      <c r="E2617" s="1322">
        <f t="shared" si="350"/>
        <v>0</v>
      </c>
      <c r="F2617" s="1324">
        <v>1</v>
      </c>
      <c r="G2617" s="1324"/>
      <c r="H2617" s="1322">
        <f t="shared" si="351"/>
        <v>0</v>
      </c>
      <c r="I2617" s="1323">
        <f t="shared" si="349"/>
        <v>11</v>
      </c>
      <c r="J2617" s="149">
        <f t="shared" si="349"/>
        <v>0</v>
      </c>
      <c r="K2617" s="650">
        <f t="shared" si="352"/>
        <v>0</v>
      </c>
    </row>
    <row r="2618" spans="1:11" ht="24.95" customHeight="1">
      <c r="A2618" s="456" t="s">
        <v>3826</v>
      </c>
      <c r="B2618" s="1246" t="s">
        <v>3827</v>
      </c>
      <c r="C2618" s="1324"/>
      <c r="D2618" s="1324"/>
      <c r="E2618" s="1322" t="e">
        <f t="shared" si="350"/>
        <v>#DIV/0!</v>
      </c>
      <c r="F2618" s="1324">
        <v>2</v>
      </c>
      <c r="G2618" s="1324"/>
      <c r="H2618" s="1322">
        <f t="shared" si="351"/>
        <v>0</v>
      </c>
      <c r="I2618" s="1323">
        <f t="shared" si="349"/>
        <v>2</v>
      </c>
      <c r="J2618" s="149">
        <f t="shared" si="349"/>
        <v>0</v>
      </c>
      <c r="K2618" s="650">
        <f t="shared" si="352"/>
        <v>0</v>
      </c>
    </row>
    <row r="2619" spans="1:11" ht="24.95" customHeight="1">
      <c r="A2619" s="1325" t="s">
        <v>5210</v>
      </c>
      <c r="B2619" s="1236" t="s">
        <v>5211</v>
      </c>
      <c r="C2619" s="1324"/>
      <c r="D2619" s="1324"/>
      <c r="E2619" s="1322" t="e">
        <f t="shared" si="350"/>
        <v>#DIV/0!</v>
      </c>
      <c r="F2619" s="1324">
        <v>1</v>
      </c>
      <c r="G2619" s="1324">
        <v>1</v>
      </c>
      <c r="H2619" s="1322">
        <f t="shared" si="351"/>
        <v>1</v>
      </c>
      <c r="I2619" s="1323">
        <f t="shared" si="349"/>
        <v>1</v>
      </c>
      <c r="J2619" s="149">
        <f t="shared" si="349"/>
        <v>1</v>
      </c>
      <c r="K2619" s="650">
        <f t="shared" si="352"/>
        <v>1</v>
      </c>
    </row>
    <row r="2620" spans="1:11" ht="24.95" customHeight="1">
      <c r="A2620" s="456" t="s">
        <v>5212</v>
      </c>
      <c r="B2620" s="452" t="s">
        <v>5213</v>
      </c>
      <c r="C2620" s="1324">
        <v>990</v>
      </c>
      <c r="D2620" s="1324">
        <v>619</v>
      </c>
      <c r="E2620" s="1322">
        <f t="shared" si="350"/>
        <v>0.62525252525252528</v>
      </c>
      <c r="F2620" s="1324">
        <v>15</v>
      </c>
      <c r="G2620" s="1324"/>
      <c r="H2620" s="1322">
        <f t="shared" si="351"/>
        <v>0</v>
      </c>
      <c r="I2620" s="1323">
        <f t="shared" si="349"/>
        <v>1005</v>
      </c>
      <c r="J2620" s="149">
        <f t="shared" si="349"/>
        <v>619</v>
      </c>
      <c r="K2620" s="650">
        <f t="shared" si="352"/>
        <v>0.61592039800995024</v>
      </c>
    </row>
    <row r="2621" spans="1:11" ht="24.95" customHeight="1">
      <c r="A2621" s="456" t="s">
        <v>2385</v>
      </c>
      <c r="B2621" s="452" t="s">
        <v>2386</v>
      </c>
      <c r="C2621" s="1324">
        <v>515</v>
      </c>
      <c r="D2621" s="1324">
        <v>362</v>
      </c>
      <c r="E2621" s="1322">
        <f t="shared" si="350"/>
        <v>0.70291262135922328</v>
      </c>
      <c r="F2621" s="1324">
        <v>355</v>
      </c>
      <c r="G2621" s="1324">
        <f>9+158</f>
        <v>167</v>
      </c>
      <c r="H2621" s="1322">
        <f t="shared" si="351"/>
        <v>0.47042253521126759</v>
      </c>
      <c r="I2621" s="1323">
        <f t="shared" si="349"/>
        <v>870</v>
      </c>
      <c r="J2621" s="149">
        <f t="shared" si="349"/>
        <v>529</v>
      </c>
      <c r="K2621" s="650">
        <f t="shared" si="352"/>
        <v>0.60804597701149421</v>
      </c>
    </row>
    <row r="2622" spans="1:11" ht="24.95" customHeight="1">
      <c r="A2622" s="456" t="s">
        <v>3115</v>
      </c>
      <c r="B2622" s="452" t="s">
        <v>3053</v>
      </c>
      <c r="C2622" s="1324">
        <v>825</v>
      </c>
      <c r="D2622" s="1324">
        <v>406</v>
      </c>
      <c r="E2622" s="1322">
        <f t="shared" si="350"/>
        <v>0.49212121212121213</v>
      </c>
      <c r="F2622" s="1324">
        <v>150</v>
      </c>
      <c r="G2622" s="1324">
        <f>21+49</f>
        <v>70</v>
      </c>
      <c r="H2622" s="1322">
        <f t="shared" si="351"/>
        <v>0.46666666666666667</v>
      </c>
      <c r="I2622" s="1323">
        <f t="shared" si="349"/>
        <v>975</v>
      </c>
      <c r="J2622" s="149">
        <f t="shared" si="349"/>
        <v>476</v>
      </c>
      <c r="K2622" s="650">
        <f t="shared" si="352"/>
        <v>0.48820512820512818</v>
      </c>
    </row>
    <row r="2623" spans="1:11" ht="24.95" customHeight="1">
      <c r="A2623" s="456" t="s">
        <v>5214</v>
      </c>
      <c r="B2623" s="452" t="s">
        <v>5215</v>
      </c>
      <c r="C2623" s="1324"/>
      <c r="D2623" s="1324"/>
      <c r="E2623" s="1322" t="e">
        <f t="shared" si="350"/>
        <v>#DIV/0!</v>
      </c>
      <c r="F2623" s="1324">
        <v>3</v>
      </c>
      <c r="G2623" s="1324"/>
      <c r="H2623" s="1322">
        <f t="shared" si="351"/>
        <v>0</v>
      </c>
      <c r="I2623" s="1323">
        <f t="shared" si="349"/>
        <v>3</v>
      </c>
      <c r="J2623" s="149">
        <f t="shared" si="349"/>
        <v>0</v>
      </c>
      <c r="K2623" s="650">
        <f t="shared" si="352"/>
        <v>0</v>
      </c>
    </row>
    <row r="2624" spans="1:11" ht="24.95" customHeight="1">
      <c r="A2624" s="456" t="s">
        <v>5216</v>
      </c>
      <c r="B2624" s="452" t="s">
        <v>5217</v>
      </c>
      <c r="C2624" s="1324"/>
      <c r="D2624" s="1324"/>
      <c r="E2624" s="1322" t="e">
        <f t="shared" si="350"/>
        <v>#DIV/0!</v>
      </c>
      <c r="F2624" s="1324">
        <v>3</v>
      </c>
      <c r="G2624" s="1324"/>
      <c r="H2624" s="1322">
        <f t="shared" si="351"/>
        <v>0</v>
      </c>
      <c r="I2624" s="1323">
        <f t="shared" si="349"/>
        <v>3</v>
      </c>
      <c r="J2624" s="149">
        <f t="shared" si="349"/>
        <v>0</v>
      </c>
      <c r="K2624" s="650">
        <f t="shared" si="352"/>
        <v>0</v>
      </c>
    </row>
    <row r="2625" spans="1:11" ht="24.95" customHeight="1">
      <c r="A2625" s="1326" t="s">
        <v>2389</v>
      </c>
      <c r="B2625" s="1327" t="s">
        <v>2390</v>
      </c>
      <c r="C2625" s="1324">
        <v>5</v>
      </c>
      <c r="D2625" s="1324">
        <v>4</v>
      </c>
      <c r="E2625" s="1322">
        <f t="shared" si="350"/>
        <v>0.8</v>
      </c>
      <c r="F2625" s="1324">
        <v>420</v>
      </c>
      <c r="G2625" s="1324">
        <v>129</v>
      </c>
      <c r="H2625" s="1322">
        <f t="shared" si="351"/>
        <v>0.30714285714285716</v>
      </c>
      <c r="I2625" s="1323">
        <f t="shared" si="349"/>
        <v>425</v>
      </c>
      <c r="J2625" s="149">
        <f t="shared" si="349"/>
        <v>133</v>
      </c>
      <c r="K2625" s="650">
        <f t="shared" si="352"/>
        <v>0.31294117647058822</v>
      </c>
    </row>
    <row r="2626" spans="1:11" ht="24.95" customHeight="1">
      <c r="A2626" s="456" t="s">
        <v>5218</v>
      </c>
      <c r="B2626" s="452" t="s">
        <v>5219</v>
      </c>
      <c r="C2626" s="1324"/>
      <c r="D2626" s="1324"/>
      <c r="E2626" s="1322" t="e">
        <f t="shared" si="350"/>
        <v>#DIV/0!</v>
      </c>
      <c r="F2626" s="1324">
        <v>10</v>
      </c>
      <c r="G2626" s="1324">
        <v>29</v>
      </c>
      <c r="H2626" s="1322">
        <f t="shared" si="351"/>
        <v>2.9</v>
      </c>
      <c r="I2626" s="1323">
        <f t="shared" si="349"/>
        <v>10</v>
      </c>
      <c r="J2626" s="149">
        <f t="shared" si="349"/>
        <v>29</v>
      </c>
      <c r="K2626" s="650">
        <f t="shared" si="352"/>
        <v>2.9</v>
      </c>
    </row>
    <row r="2627" spans="1:11" ht="24.95" customHeight="1">
      <c r="A2627" s="456" t="s">
        <v>5220</v>
      </c>
      <c r="B2627" s="452" t="s">
        <v>5221</v>
      </c>
      <c r="C2627" s="1324"/>
      <c r="D2627" s="1324"/>
      <c r="E2627" s="1322" t="e">
        <f t="shared" si="350"/>
        <v>#DIV/0!</v>
      </c>
      <c r="F2627" s="1324">
        <v>45</v>
      </c>
      <c r="G2627" s="1324">
        <v>10</v>
      </c>
      <c r="H2627" s="1322">
        <f t="shared" si="351"/>
        <v>0.22222222222222221</v>
      </c>
      <c r="I2627" s="1323">
        <f t="shared" si="349"/>
        <v>45</v>
      </c>
      <c r="J2627" s="149">
        <f t="shared" si="349"/>
        <v>10</v>
      </c>
      <c r="K2627" s="650">
        <f t="shared" si="352"/>
        <v>0.22222222222222221</v>
      </c>
    </row>
    <row r="2628" spans="1:11" ht="24.95" customHeight="1">
      <c r="A2628" s="456" t="s">
        <v>3060</v>
      </c>
      <c r="B2628" s="452" t="s">
        <v>3061</v>
      </c>
      <c r="C2628" s="1324">
        <v>3</v>
      </c>
      <c r="D2628" s="1324"/>
      <c r="E2628" s="1322">
        <f t="shared" si="350"/>
        <v>0</v>
      </c>
      <c r="F2628" s="1324">
        <v>130</v>
      </c>
      <c r="G2628" s="1324">
        <v>38</v>
      </c>
      <c r="H2628" s="1322">
        <f t="shared" si="351"/>
        <v>0.29230769230769232</v>
      </c>
      <c r="I2628" s="1323">
        <f t="shared" si="349"/>
        <v>133</v>
      </c>
      <c r="J2628" s="149">
        <f t="shared" si="349"/>
        <v>38</v>
      </c>
      <c r="K2628" s="650">
        <f t="shared" si="352"/>
        <v>0.2857142857142857</v>
      </c>
    </row>
    <row r="2629" spans="1:11" ht="24.95" customHeight="1">
      <c r="A2629" s="456" t="s">
        <v>2391</v>
      </c>
      <c r="B2629" s="452" t="s">
        <v>2392</v>
      </c>
      <c r="C2629" s="1324"/>
      <c r="D2629" s="1324"/>
      <c r="E2629" s="1322" t="e">
        <f t="shared" si="350"/>
        <v>#DIV/0!</v>
      </c>
      <c r="F2629" s="1324"/>
      <c r="G2629" s="1324"/>
      <c r="H2629" s="1322" t="e">
        <f t="shared" si="351"/>
        <v>#DIV/0!</v>
      </c>
      <c r="I2629" s="1323">
        <f t="shared" si="349"/>
        <v>0</v>
      </c>
      <c r="J2629" s="149">
        <f t="shared" si="349"/>
        <v>0</v>
      </c>
      <c r="K2629" s="650" t="e">
        <f t="shared" si="352"/>
        <v>#DIV/0!</v>
      </c>
    </row>
    <row r="2630" spans="1:11" ht="24.95" customHeight="1">
      <c r="A2630" s="456" t="s">
        <v>2395</v>
      </c>
      <c r="B2630" s="452" t="s">
        <v>2396</v>
      </c>
      <c r="C2630" s="1324"/>
      <c r="D2630" s="1324"/>
      <c r="E2630" s="1322" t="e">
        <f t="shared" si="350"/>
        <v>#DIV/0!</v>
      </c>
      <c r="F2630" s="1324">
        <v>15</v>
      </c>
      <c r="G2630" s="1324">
        <v>1</v>
      </c>
      <c r="H2630" s="1322">
        <f t="shared" si="351"/>
        <v>6.6666666666666666E-2</v>
      </c>
      <c r="I2630" s="1323">
        <f t="shared" si="349"/>
        <v>15</v>
      </c>
      <c r="J2630" s="149">
        <f t="shared" si="349"/>
        <v>1</v>
      </c>
      <c r="K2630" s="650">
        <f t="shared" si="352"/>
        <v>6.6666666666666666E-2</v>
      </c>
    </row>
    <row r="2631" spans="1:11" ht="24.95" customHeight="1">
      <c r="A2631" s="456" t="s">
        <v>5222</v>
      </c>
      <c r="B2631" s="452" t="s">
        <v>2398</v>
      </c>
      <c r="C2631" s="1324"/>
      <c r="D2631" s="1324"/>
      <c r="E2631" s="1322" t="e">
        <f t="shared" si="350"/>
        <v>#DIV/0!</v>
      </c>
      <c r="F2631" s="1324">
        <v>1</v>
      </c>
      <c r="G2631" s="1324"/>
      <c r="H2631" s="1322">
        <f t="shared" si="351"/>
        <v>0</v>
      </c>
      <c r="I2631" s="1323">
        <f t="shared" si="349"/>
        <v>1</v>
      </c>
      <c r="J2631" s="149">
        <f t="shared" si="349"/>
        <v>0</v>
      </c>
      <c r="K2631" s="650">
        <f t="shared" si="352"/>
        <v>0</v>
      </c>
    </row>
    <row r="2632" spans="1:11" ht="24.95" customHeight="1">
      <c r="A2632" s="456" t="s">
        <v>5223</v>
      </c>
      <c r="B2632" s="452" t="s">
        <v>5224</v>
      </c>
      <c r="C2632" s="1324"/>
      <c r="D2632" s="1324"/>
      <c r="E2632" s="1322" t="e">
        <f t="shared" si="350"/>
        <v>#DIV/0!</v>
      </c>
      <c r="F2632" s="1324">
        <v>2</v>
      </c>
      <c r="G2632" s="1324"/>
      <c r="H2632" s="1322">
        <f t="shared" si="351"/>
        <v>0</v>
      </c>
      <c r="I2632" s="1323">
        <f t="shared" si="349"/>
        <v>2</v>
      </c>
      <c r="J2632" s="149">
        <f t="shared" si="349"/>
        <v>0</v>
      </c>
      <c r="K2632" s="650">
        <f t="shared" si="352"/>
        <v>0</v>
      </c>
    </row>
    <row r="2633" spans="1:11" ht="24.95" customHeight="1">
      <c r="A2633" s="456" t="s">
        <v>2401</v>
      </c>
      <c r="B2633" s="1246" t="s">
        <v>2402</v>
      </c>
      <c r="C2633" s="1324">
        <v>15</v>
      </c>
      <c r="D2633" s="1324">
        <v>6</v>
      </c>
      <c r="E2633" s="1322">
        <f t="shared" si="350"/>
        <v>0.4</v>
      </c>
      <c r="F2633" s="1324">
        <v>2000</v>
      </c>
      <c r="G2633" s="1324">
        <v>971</v>
      </c>
      <c r="H2633" s="1322">
        <f t="shared" si="351"/>
        <v>0.48549999999999999</v>
      </c>
      <c r="I2633" s="1323">
        <f t="shared" si="349"/>
        <v>2015</v>
      </c>
      <c r="J2633" s="149">
        <f t="shared" si="349"/>
        <v>977</v>
      </c>
      <c r="K2633" s="650">
        <f t="shared" si="352"/>
        <v>0.48486352357320101</v>
      </c>
    </row>
    <row r="2634" spans="1:11" ht="24.95" customHeight="1">
      <c r="A2634" s="456" t="s">
        <v>4111</v>
      </c>
      <c r="B2634" s="452" t="s">
        <v>2412</v>
      </c>
      <c r="C2634" s="1324">
        <v>5</v>
      </c>
      <c r="D2634" s="1324">
        <v>1</v>
      </c>
      <c r="E2634" s="1322">
        <f t="shared" si="350"/>
        <v>0.2</v>
      </c>
      <c r="F2634" s="1324">
        <v>10</v>
      </c>
      <c r="G2634" s="1324">
        <v>3</v>
      </c>
      <c r="H2634" s="1322">
        <f t="shared" si="351"/>
        <v>0.3</v>
      </c>
      <c r="I2634" s="1323">
        <f t="shared" si="349"/>
        <v>15</v>
      </c>
      <c r="J2634" s="149">
        <f t="shared" si="349"/>
        <v>4</v>
      </c>
      <c r="K2634" s="650">
        <f t="shared" si="352"/>
        <v>0.26666666666666666</v>
      </c>
    </row>
    <row r="2635" spans="1:11" ht="24.95" customHeight="1">
      <c r="A2635" s="456">
        <v>241001</v>
      </c>
      <c r="B2635" s="452" t="s">
        <v>5225</v>
      </c>
      <c r="C2635" s="1324"/>
      <c r="D2635" s="1324"/>
      <c r="E2635" s="1322" t="e">
        <f t="shared" si="350"/>
        <v>#DIV/0!</v>
      </c>
      <c r="F2635" s="1324">
        <v>1</v>
      </c>
      <c r="G2635" s="1324"/>
      <c r="H2635" s="1322">
        <f t="shared" si="351"/>
        <v>0</v>
      </c>
      <c r="I2635" s="1323">
        <f t="shared" si="349"/>
        <v>1</v>
      </c>
      <c r="J2635" s="149">
        <f t="shared" si="349"/>
        <v>0</v>
      </c>
      <c r="K2635" s="650">
        <f t="shared" si="352"/>
        <v>0</v>
      </c>
    </row>
    <row r="2636" spans="1:11" ht="24.95" customHeight="1">
      <c r="A2636" s="456">
        <v>241021</v>
      </c>
      <c r="B2636" s="452" t="s">
        <v>5226</v>
      </c>
      <c r="C2636" s="1324">
        <v>10</v>
      </c>
      <c r="D2636" s="1324"/>
      <c r="E2636" s="1322">
        <f t="shared" si="350"/>
        <v>0</v>
      </c>
      <c r="F2636" s="1324">
        <v>50</v>
      </c>
      <c r="G2636" s="1324">
        <v>5</v>
      </c>
      <c r="H2636" s="1322">
        <f t="shared" si="351"/>
        <v>0.1</v>
      </c>
      <c r="I2636" s="1323">
        <f t="shared" si="349"/>
        <v>60</v>
      </c>
      <c r="J2636" s="149">
        <f t="shared" si="349"/>
        <v>5</v>
      </c>
      <c r="K2636" s="650">
        <f t="shared" si="352"/>
        <v>8.3333333333333329E-2</v>
      </c>
    </row>
    <row r="2637" spans="1:11" ht="24.95" customHeight="1">
      <c r="A2637" s="456">
        <v>241022</v>
      </c>
      <c r="B2637" s="452" t="s">
        <v>5227</v>
      </c>
      <c r="C2637" s="1324">
        <v>5</v>
      </c>
      <c r="D2637" s="1324"/>
      <c r="E2637" s="1322">
        <f t="shared" si="350"/>
        <v>0</v>
      </c>
      <c r="F2637" s="1324">
        <v>15</v>
      </c>
      <c r="G2637" s="1324">
        <v>2</v>
      </c>
      <c r="H2637" s="1322">
        <f t="shared" si="351"/>
        <v>0.13333333333333333</v>
      </c>
      <c r="I2637" s="1323">
        <f t="shared" si="349"/>
        <v>20</v>
      </c>
      <c r="J2637" s="149">
        <f t="shared" si="349"/>
        <v>2</v>
      </c>
      <c r="K2637" s="650">
        <f t="shared" si="352"/>
        <v>0.1</v>
      </c>
    </row>
    <row r="2638" spans="1:11" ht="24.95" customHeight="1">
      <c r="A2638" s="456">
        <v>241024</v>
      </c>
      <c r="B2638" s="452" t="s">
        <v>5228</v>
      </c>
      <c r="C2638" s="1324"/>
      <c r="D2638" s="1324"/>
      <c r="E2638" s="1322" t="e">
        <f t="shared" si="350"/>
        <v>#DIV/0!</v>
      </c>
      <c r="F2638" s="1324">
        <v>1</v>
      </c>
      <c r="G2638" s="1324"/>
      <c r="H2638" s="1322">
        <f t="shared" si="351"/>
        <v>0</v>
      </c>
      <c r="I2638" s="1323"/>
      <c r="J2638" s="149">
        <f t="shared" ref="J2638:J2701" si="353">+D2638+G2638</f>
        <v>0</v>
      </c>
      <c r="K2638" s="650" t="e">
        <f t="shared" si="352"/>
        <v>#DIV/0!</v>
      </c>
    </row>
    <row r="2639" spans="1:11" ht="24.95" customHeight="1">
      <c r="A2639" s="456">
        <v>241027</v>
      </c>
      <c r="B2639" s="452" t="s">
        <v>3550</v>
      </c>
      <c r="C2639" s="1324">
        <v>35</v>
      </c>
      <c r="D2639" s="1324">
        <v>3</v>
      </c>
      <c r="E2639" s="1322">
        <f t="shared" si="350"/>
        <v>8.5714285714285715E-2</v>
      </c>
      <c r="F2639" s="1324">
        <v>1250</v>
      </c>
      <c r="G2639" s="1324">
        <v>945</v>
      </c>
      <c r="H2639" s="1322">
        <f t="shared" si="351"/>
        <v>0.75600000000000001</v>
      </c>
      <c r="I2639" s="1323">
        <f t="shared" ref="I2639:I2655" si="354">+C2639+F2639</f>
        <v>1285</v>
      </c>
      <c r="J2639" s="149">
        <f t="shared" si="353"/>
        <v>948</v>
      </c>
      <c r="K2639" s="650">
        <f t="shared" si="352"/>
        <v>0.73774319066147864</v>
      </c>
    </row>
    <row r="2640" spans="1:11" ht="24.95" customHeight="1">
      <c r="A2640" s="456">
        <v>241028</v>
      </c>
      <c r="B2640" s="452" t="s">
        <v>5229</v>
      </c>
      <c r="C2640" s="1324"/>
      <c r="D2640" s="1324"/>
      <c r="E2640" s="1322" t="e">
        <f t="shared" si="350"/>
        <v>#DIV/0!</v>
      </c>
      <c r="F2640" s="1324">
        <v>3</v>
      </c>
      <c r="G2640" s="1324">
        <v>7</v>
      </c>
      <c r="H2640" s="1322">
        <f t="shared" si="351"/>
        <v>2.3333333333333335</v>
      </c>
      <c r="I2640" s="1323">
        <f t="shared" si="354"/>
        <v>3</v>
      </c>
      <c r="J2640" s="149">
        <f t="shared" si="353"/>
        <v>7</v>
      </c>
      <c r="K2640" s="650">
        <f t="shared" si="352"/>
        <v>2.3333333333333335</v>
      </c>
    </row>
    <row r="2641" spans="1:11" ht="24.95" customHeight="1">
      <c r="A2641" s="456">
        <v>250103</v>
      </c>
      <c r="B2641" s="1246" t="s">
        <v>5230</v>
      </c>
      <c r="C2641" s="1324">
        <v>605</v>
      </c>
      <c r="D2641" s="1324">
        <v>399</v>
      </c>
      <c r="E2641" s="1322">
        <f t="shared" si="350"/>
        <v>0.65950413223140492</v>
      </c>
      <c r="F2641" s="1324">
        <v>2820</v>
      </c>
      <c r="G2641" s="1324">
        <v>577</v>
      </c>
      <c r="H2641" s="1322">
        <f t="shared" si="351"/>
        <v>0.20460992907801417</v>
      </c>
      <c r="I2641" s="1323">
        <f t="shared" si="354"/>
        <v>3425</v>
      </c>
      <c r="J2641" s="149">
        <f t="shared" si="353"/>
        <v>976</v>
      </c>
      <c r="K2641" s="650">
        <f t="shared" si="352"/>
        <v>0.28496350364963502</v>
      </c>
    </row>
    <row r="2642" spans="1:11" ht="24.95" customHeight="1">
      <c r="A2642" s="448" t="s">
        <v>3117</v>
      </c>
      <c r="B2642" s="1327" t="s">
        <v>3118</v>
      </c>
      <c r="C2642" s="1324">
        <v>2</v>
      </c>
      <c r="D2642" s="1324"/>
      <c r="E2642" s="1322">
        <f t="shared" si="350"/>
        <v>0</v>
      </c>
      <c r="F2642" s="1324">
        <v>5</v>
      </c>
      <c r="G2642" s="1324">
        <v>4</v>
      </c>
      <c r="H2642" s="1322">
        <f t="shared" si="351"/>
        <v>0.8</v>
      </c>
      <c r="I2642" s="1323">
        <f t="shared" si="354"/>
        <v>7</v>
      </c>
      <c r="J2642" s="149">
        <f t="shared" si="353"/>
        <v>4</v>
      </c>
      <c r="K2642" s="650">
        <f t="shared" si="352"/>
        <v>0.5714285714285714</v>
      </c>
    </row>
    <row r="2643" spans="1:11" ht="24.95" customHeight="1">
      <c r="A2643" s="448" t="s">
        <v>3119</v>
      </c>
      <c r="B2643" s="1327" t="s">
        <v>3120</v>
      </c>
      <c r="C2643" s="1324"/>
      <c r="D2643" s="1324"/>
      <c r="E2643" s="1322" t="e">
        <f t="shared" si="350"/>
        <v>#DIV/0!</v>
      </c>
      <c r="F2643" s="1324">
        <v>5</v>
      </c>
      <c r="G2643" s="1324">
        <v>4</v>
      </c>
      <c r="H2643" s="1322">
        <f t="shared" si="351"/>
        <v>0.8</v>
      </c>
      <c r="I2643" s="1323">
        <f t="shared" si="354"/>
        <v>5</v>
      </c>
      <c r="J2643" s="149">
        <f t="shared" si="353"/>
        <v>4</v>
      </c>
      <c r="K2643" s="650">
        <f t="shared" si="352"/>
        <v>0.8</v>
      </c>
    </row>
    <row r="2644" spans="1:11" ht="24.95" customHeight="1">
      <c r="A2644" s="448" t="s">
        <v>3125</v>
      </c>
      <c r="B2644" s="1327" t="s">
        <v>3126</v>
      </c>
      <c r="C2644" s="1324"/>
      <c r="D2644" s="1324"/>
      <c r="E2644" s="1322" t="e">
        <f t="shared" si="350"/>
        <v>#DIV/0!</v>
      </c>
      <c r="F2644" s="1324">
        <v>1</v>
      </c>
      <c r="G2644" s="1324"/>
      <c r="H2644" s="1322">
        <f t="shared" si="351"/>
        <v>0</v>
      </c>
      <c r="I2644" s="1323">
        <f t="shared" si="354"/>
        <v>1</v>
      </c>
      <c r="J2644" s="149">
        <f t="shared" si="353"/>
        <v>0</v>
      </c>
      <c r="K2644" s="650">
        <f t="shared" si="352"/>
        <v>0</v>
      </c>
    </row>
    <row r="2645" spans="1:11" ht="24.95" customHeight="1">
      <c r="A2645" s="448" t="s">
        <v>3127</v>
      </c>
      <c r="B2645" s="1327" t="s">
        <v>3128</v>
      </c>
      <c r="C2645" s="1324"/>
      <c r="D2645" s="1324"/>
      <c r="E2645" s="1322" t="e">
        <f t="shared" si="350"/>
        <v>#DIV/0!</v>
      </c>
      <c r="F2645" s="1324">
        <v>10</v>
      </c>
      <c r="G2645" s="1324">
        <v>4</v>
      </c>
      <c r="H2645" s="1322">
        <f t="shared" si="351"/>
        <v>0.4</v>
      </c>
      <c r="I2645" s="1323">
        <f t="shared" si="354"/>
        <v>10</v>
      </c>
      <c r="J2645" s="149">
        <f t="shared" si="353"/>
        <v>4</v>
      </c>
      <c r="K2645" s="650">
        <f t="shared" si="352"/>
        <v>0.4</v>
      </c>
    </row>
    <row r="2646" spans="1:11" ht="24.95" customHeight="1">
      <c r="A2646" s="448" t="s">
        <v>3129</v>
      </c>
      <c r="B2646" s="1327" t="s">
        <v>3130</v>
      </c>
      <c r="C2646" s="1324">
        <v>1</v>
      </c>
      <c r="D2646" s="1324"/>
      <c r="E2646" s="1322">
        <f t="shared" si="350"/>
        <v>0</v>
      </c>
      <c r="F2646" s="1324">
        <v>10</v>
      </c>
      <c r="G2646" s="1324">
        <v>3</v>
      </c>
      <c r="H2646" s="1322">
        <f t="shared" si="351"/>
        <v>0.3</v>
      </c>
      <c r="I2646" s="1323">
        <f t="shared" si="354"/>
        <v>11</v>
      </c>
      <c r="J2646" s="149">
        <f t="shared" si="353"/>
        <v>3</v>
      </c>
      <c r="K2646" s="650">
        <f t="shared" si="352"/>
        <v>0.27272727272727271</v>
      </c>
    </row>
    <row r="2647" spans="1:11" ht="24.95" customHeight="1">
      <c r="A2647" s="448" t="s">
        <v>5231</v>
      </c>
      <c r="B2647" s="1327" t="s">
        <v>5232</v>
      </c>
      <c r="C2647" s="1324">
        <v>1</v>
      </c>
      <c r="D2647" s="1324"/>
      <c r="E2647" s="1322">
        <f t="shared" si="350"/>
        <v>0</v>
      </c>
      <c r="F2647" s="1324">
        <v>20</v>
      </c>
      <c r="G2647" s="1324">
        <v>4</v>
      </c>
      <c r="H2647" s="1322">
        <f t="shared" si="351"/>
        <v>0.2</v>
      </c>
      <c r="I2647" s="1323">
        <f t="shared" si="354"/>
        <v>21</v>
      </c>
      <c r="J2647" s="149">
        <f t="shared" si="353"/>
        <v>4</v>
      </c>
      <c r="K2647" s="650">
        <f t="shared" si="352"/>
        <v>0.19047619047619047</v>
      </c>
    </row>
    <row r="2648" spans="1:11" ht="24.95" customHeight="1">
      <c r="A2648" s="448" t="s">
        <v>2808</v>
      </c>
      <c r="B2648" s="1327" t="s">
        <v>2809</v>
      </c>
      <c r="C2648" s="1324"/>
      <c r="D2648" s="1324"/>
      <c r="E2648" s="1322" t="e">
        <f t="shared" si="350"/>
        <v>#DIV/0!</v>
      </c>
      <c r="F2648" s="1324">
        <v>5</v>
      </c>
      <c r="G2648" s="1324"/>
      <c r="H2648" s="1322">
        <f t="shared" si="351"/>
        <v>0</v>
      </c>
      <c r="I2648" s="1323">
        <f t="shared" si="354"/>
        <v>5</v>
      </c>
      <c r="J2648" s="149">
        <f t="shared" si="353"/>
        <v>0</v>
      </c>
      <c r="K2648" s="650">
        <f t="shared" si="352"/>
        <v>0</v>
      </c>
    </row>
    <row r="2649" spans="1:11" ht="24.95" customHeight="1">
      <c r="A2649" s="448" t="s">
        <v>5233</v>
      </c>
      <c r="B2649" s="1327" t="s">
        <v>5234</v>
      </c>
      <c r="C2649" s="1324"/>
      <c r="D2649" s="1324"/>
      <c r="E2649" s="1322" t="e">
        <f t="shared" si="350"/>
        <v>#DIV/0!</v>
      </c>
      <c r="F2649" s="1324">
        <v>6</v>
      </c>
      <c r="G2649" s="1324"/>
      <c r="H2649" s="1322">
        <f t="shared" si="351"/>
        <v>0</v>
      </c>
      <c r="I2649" s="1323">
        <f t="shared" si="354"/>
        <v>6</v>
      </c>
      <c r="J2649" s="149">
        <f t="shared" si="353"/>
        <v>0</v>
      </c>
      <c r="K2649" s="650">
        <f t="shared" si="352"/>
        <v>0</v>
      </c>
    </row>
    <row r="2650" spans="1:11" ht="24.95" customHeight="1">
      <c r="A2650" s="1326" t="s">
        <v>5235</v>
      </c>
      <c r="B2650" s="1327" t="s">
        <v>5236</v>
      </c>
      <c r="C2650" s="1324">
        <v>460</v>
      </c>
      <c r="D2650" s="1324">
        <v>282</v>
      </c>
      <c r="E2650" s="1322">
        <f t="shared" si="350"/>
        <v>0.61304347826086958</v>
      </c>
      <c r="F2650" s="1324">
        <v>20</v>
      </c>
      <c r="G2650" s="1324"/>
      <c r="H2650" s="1322">
        <f t="shared" si="351"/>
        <v>0</v>
      </c>
      <c r="I2650" s="1323">
        <f t="shared" si="354"/>
        <v>480</v>
      </c>
      <c r="J2650" s="149">
        <f t="shared" si="353"/>
        <v>282</v>
      </c>
      <c r="K2650" s="650">
        <f t="shared" si="352"/>
        <v>0.58750000000000002</v>
      </c>
    </row>
    <row r="2651" spans="1:11" ht="24.95" customHeight="1">
      <c r="A2651" s="448" t="s">
        <v>5237</v>
      </c>
      <c r="B2651" s="1327" t="s">
        <v>5238</v>
      </c>
      <c r="C2651" s="1324">
        <v>150</v>
      </c>
      <c r="D2651" s="1324">
        <v>56</v>
      </c>
      <c r="E2651" s="1322">
        <f t="shared" si="350"/>
        <v>0.37333333333333335</v>
      </c>
      <c r="F2651" s="1324">
        <v>5</v>
      </c>
      <c r="G2651" s="1324"/>
      <c r="H2651" s="1322">
        <f t="shared" si="351"/>
        <v>0</v>
      </c>
      <c r="I2651" s="1323">
        <f t="shared" si="354"/>
        <v>155</v>
      </c>
      <c r="J2651" s="149">
        <f t="shared" si="353"/>
        <v>56</v>
      </c>
      <c r="K2651" s="650">
        <f t="shared" si="352"/>
        <v>0.36129032258064514</v>
      </c>
    </row>
    <row r="2652" spans="1:11" ht="24.95" customHeight="1">
      <c r="A2652" s="1326" t="s">
        <v>5239</v>
      </c>
      <c r="B2652" s="1327" t="s">
        <v>5240</v>
      </c>
      <c r="C2652" s="1324">
        <v>1250</v>
      </c>
      <c r="D2652" s="1324">
        <v>653</v>
      </c>
      <c r="E2652" s="1322">
        <f t="shared" si="350"/>
        <v>0.52239999999999998</v>
      </c>
      <c r="F2652" s="1324">
        <v>1700</v>
      </c>
      <c r="G2652" s="1324">
        <f>4+637</f>
        <v>641</v>
      </c>
      <c r="H2652" s="1322">
        <f t="shared" si="351"/>
        <v>0.37705882352941178</v>
      </c>
      <c r="I2652" s="1323">
        <f t="shared" si="354"/>
        <v>2950</v>
      </c>
      <c r="J2652" s="149">
        <f t="shared" si="353"/>
        <v>1294</v>
      </c>
      <c r="K2652" s="650">
        <f t="shared" si="352"/>
        <v>0.43864406779661019</v>
      </c>
    </row>
    <row r="2653" spans="1:11" ht="24.95" customHeight="1">
      <c r="A2653" s="448" t="s">
        <v>5241</v>
      </c>
      <c r="B2653" s="1327" t="s">
        <v>5242</v>
      </c>
      <c r="C2653" s="1324">
        <v>5</v>
      </c>
      <c r="D2653" s="1324"/>
      <c r="E2653" s="1322">
        <f t="shared" si="350"/>
        <v>0</v>
      </c>
      <c r="F2653" s="1324"/>
      <c r="G2653" s="1324"/>
      <c r="H2653" s="1322" t="e">
        <f t="shared" si="351"/>
        <v>#DIV/0!</v>
      </c>
      <c r="I2653" s="1323">
        <f t="shared" si="354"/>
        <v>5</v>
      </c>
      <c r="J2653" s="149">
        <f t="shared" si="353"/>
        <v>0</v>
      </c>
      <c r="K2653" s="650">
        <f t="shared" si="352"/>
        <v>0</v>
      </c>
    </row>
    <row r="2654" spans="1:11" ht="24.95" customHeight="1">
      <c r="A2654" s="1326" t="s">
        <v>5243</v>
      </c>
      <c r="B2654" s="1327" t="s">
        <v>5244</v>
      </c>
      <c r="C2654" s="1324">
        <v>5</v>
      </c>
      <c r="D2654" s="1324">
        <v>1</v>
      </c>
      <c r="E2654" s="1322">
        <f t="shared" si="350"/>
        <v>0.2</v>
      </c>
      <c r="F2654" s="1324">
        <v>25</v>
      </c>
      <c r="G2654" s="1324">
        <v>1</v>
      </c>
      <c r="H2654" s="1322">
        <f t="shared" si="351"/>
        <v>0.04</v>
      </c>
      <c r="I2654" s="1328">
        <f t="shared" si="354"/>
        <v>30</v>
      </c>
      <c r="J2654" s="149">
        <f t="shared" si="353"/>
        <v>2</v>
      </c>
      <c r="K2654" s="650">
        <f t="shared" si="352"/>
        <v>6.6666666666666666E-2</v>
      </c>
    </row>
    <row r="2655" spans="1:11" ht="24.95" customHeight="1">
      <c r="A2655" s="448" t="s">
        <v>5245</v>
      </c>
      <c r="B2655" s="1327" t="s">
        <v>5246</v>
      </c>
      <c r="C2655" s="1324">
        <v>35</v>
      </c>
      <c r="D2655" s="1324">
        <v>13</v>
      </c>
      <c r="E2655" s="1322">
        <f t="shared" si="350"/>
        <v>0.37142857142857144</v>
      </c>
      <c r="F2655" s="1324">
        <v>280</v>
      </c>
      <c r="G2655" s="1324">
        <f>1+69</f>
        <v>70</v>
      </c>
      <c r="H2655" s="1322">
        <f t="shared" si="351"/>
        <v>0.25</v>
      </c>
      <c r="I2655" s="1323">
        <f t="shared" si="354"/>
        <v>315</v>
      </c>
      <c r="J2655" s="149">
        <f t="shared" si="353"/>
        <v>83</v>
      </c>
      <c r="K2655" s="650">
        <f t="shared" si="352"/>
        <v>0.2634920634920635</v>
      </c>
    </row>
    <row r="2656" spans="1:11" ht="24.95" customHeight="1">
      <c r="A2656" s="448" t="s">
        <v>5247</v>
      </c>
      <c r="B2656" s="1327" t="s">
        <v>5248</v>
      </c>
      <c r="C2656" s="1324"/>
      <c r="D2656" s="1324"/>
      <c r="E2656" s="1322" t="e">
        <f t="shared" si="350"/>
        <v>#DIV/0!</v>
      </c>
      <c r="F2656" s="1324">
        <v>5</v>
      </c>
      <c r="G2656" s="1324"/>
      <c r="H2656" s="1322">
        <f t="shared" si="351"/>
        <v>0</v>
      </c>
      <c r="I2656" s="1323"/>
      <c r="J2656" s="149">
        <f t="shared" si="353"/>
        <v>0</v>
      </c>
      <c r="K2656" s="650" t="e">
        <f t="shared" si="352"/>
        <v>#DIV/0!</v>
      </c>
    </row>
    <row r="2657" spans="1:11" ht="24.95" customHeight="1">
      <c r="A2657" s="448" t="s">
        <v>3563</v>
      </c>
      <c r="B2657" s="1327" t="s">
        <v>5249</v>
      </c>
      <c r="C2657" s="1324">
        <v>35</v>
      </c>
      <c r="D2657" s="1324">
        <v>42</v>
      </c>
      <c r="E2657" s="1322">
        <f t="shared" si="350"/>
        <v>1.2</v>
      </c>
      <c r="F2657" s="1324"/>
      <c r="G2657" s="1324"/>
      <c r="H2657" s="1322" t="e">
        <f t="shared" si="351"/>
        <v>#DIV/0!</v>
      </c>
      <c r="I2657" s="1323">
        <f t="shared" ref="I2657:J2702" si="355">+C2657+F2657</f>
        <v>35</v>
      </c>
      <c r="J2657" s="149">
        <f t="shared" si="353"/>
        <v>42</v>
      </c>
      <c r="K2657" s="650">
        <f t="shared" si="352"/>
        <v>1.2</v>
      </c>
    </row>
    <row r="2658" spans="1:11" ht="24.95" customHeight="1">
      <c r="A2658" s="1325" t="s">
        <v>2429</v>
      </c>
      <c r="B2658" s="1236" t="s">
        <v>2430</v>
      </c>
      <c r="C2658" s="1324">
        <v>2</v>
      </c>
      <c r="D2658" s="1324"/>
      <c r="E2658" s="1322">
        <f t="shared" si="350"/>
        <v>0</v>
      </c>
      <c r="F2658" s="1324">
        <v>3</v>
      </c>
      <c r="G2658" s="1324"/>
      <c r="H2658" s="1322">
        <f t="shared" si="351"/>
        <v>0</v>
      </c>
      <c r="I2658" s="1323">
        <f t="shared" si="355"/>
        <v>5</v>
      </c>
      <c r="J2658" s="149">
        <f t="shared" si="353"/>
        <v>0</v>
      </c>
      <c r="K2658" s="650">
        <f t="shared" si="352"/>
        <v>0</v>
      </c>
    </row>
    <row r="2659" spans="1:11" ht="24.95" customHeight="1">
      <c r="A2659" s="456" t="s">
        <v>2431</v>
      </c>
      <c r="B2659" s="452" t="s">
        <v>2432</v>
      </c>
      <c r="C2659" s="1324"/>
      <c r="D2659" s="1324"/>
      <c r="E2659" s="1322" t="e">
        <f t="shared" si="350"/>
        <v>#DIV/0!</v>
      </c>
      <c r="F2659" s="1324">
        <v>10</v>
      </c>
      <c r="G2659" s="1324"/>
      <c r="H2659" s="1322">
        <f t="shared" si="351"/>
        <v>0</v>
      </c>
      <c r="I2659" s="1323">
        <f t="shared" si="355"/>
        <v>10</v>
      </c>
      <c r="J2659" s="149">
        <f t="shared" si="353"/>
        <v>0</v>
      </c>
      <c r="K2659" s="650">
        <f t="shared" si="352"/>
        <v>0</v>
      </c>
    </row>
    <row r="2660" spans="1:11" ht="24.95" customHeight="1">
      <c r="A2660" s="456" t="s">
        <v>2181</v>
      </c>
      <c r="B2660" s="1236" t="s">
        <v>2182</v>
      </c>
      <c r="C2660" s="1324">
        <v>165</v>
      </c>
      <c r="D2660" s="1324">
        <v>88</v>
      </c>
      <c r="E2660" s="1322">
        <f t="shared" si="350"/>
        <v>0.53333333333333333</v>
      </c>
      <c r="F2660" s="1324">
        <v>1</v>
      </c>
      <c r="G2660" s="1324"/>
      <c r="H2660" s="1322">
        <f t="shared" si="351"/>
        <v>0</v>
      </c>
      <c r="I2660" s="1323">
        <f t="shared" si="355"/>
        <v>166</v>
      </c>
      <c r="J2660" s="149">
        <f t="shared" si="353"/>
        <v>88</v>
      </c>
      <c r="K2660" s="650">
        <f t="shared" si="352"/>
        <v>0.53012048192771088</v>
      </c>
    </row>
    <row r="2661" spans="1:11" ht="24.95" customHeight="1">
      <c r="A2661" s="456" t="s">
        <v>3929</v>
      </c>
      <c r="B2661" s="792" t="s">
        <v>5250</v>
      </c>
      <c r="C2661" s="1324">
        <v>200</v>
      </c>
      <c r="D2661" s="1324">
        <v>100</v>
      </c>
      <c r="E2661" s="1322">
        <f t="shared" si="350"/>
        <v>0.5</v>
      </c>
      <c r="F2661" s="1324">
        <v>10</v>
      </c>
      <c r="G2661" s="1324">
        <v>7</v>
      </c>
      <c r="H2661" s="1322">
        <f t="shared" si="351"/>
        <v>0.7</v>
      </c>
      <c r="I2661" s="1323">
        <f t="shared" si="355"/>
        <v>210</v>
      </c>
      <c r="J2661" s="149">
        <f t="shared" si="353"/>
        <v>107</v>
      </c>
      <c r="K2661" s="650">
        <f t="shared" si="352"/>
        <v>0.50952380952380949</v>
      </c>
    </row>
    <row r="2662" spans="1:11" ht="24.95" customHeight="1">
      <c r="A2662" s="456" t="s">
        <v>3847</v>
      </c>
      <c r="B2662" s="792" t="s">
        <v>3076</v>
      </c>
      <c r="C2662" s="1324">
        <v>125</v>
      </c>
      <c r="D2662" s="1324">
        <v>55</v>
      </c>
      <c r="E2662" s="1322">
        <f t="shared" si="350"/>
        <v>0.44</v>
      </c>
      <c r="F2662" s="1324">
        <v>5</v>
      </c>
      <c r="G2662" s="1324"/>
      <c r="H2662" s="1322">
        <f t="shared" si="351"/>
        <v>0</v>
      </c>
      <c r="I2662" s="1323">
        <f t="shared" si="355"/>
        <v>130</v>
      </c>
      <c r="J2662" s="149">
        <f t="shared" si="353"/>
        <v>55</v>
      </c>
      <c r="K2662" s="650">
        <f t="shared" si="352"/>
        <v>0.42307692307692307</v>
      </c>
    </row>
    <row r="2663" spans="1:11" ht="24.95" customHeight="1">
      <c r="A2663" s="456" t="s">
        <v>2435</v>
      </c>
      <c r="B2663" s="792" t="s">
        <v>2436</v>
      </c>
      <c r="C2663" s="1324">
        <v>60</v>
      </c>
      <c r="D2663" s="1324">
        <v>30</v>
      </c>
      <c r="E2663" s="1322">
        <f t="shared" si="350"/>
        <v>0.5</v>
      </c>
      <c r="F2663" s="1324">
        <v>2340</v>
      </c>
      <c r="G2663" s="1324">
        <v>1192</v>
      </c>
      <c r="H2663" s="1322">
        <f t="shared" si="351"/>
        <v>0.50940170940170937</v>
      </c>
      <c r="I2663" s="1323">
        <f t="shared" si="355"/>
        <v>2400</v>
      </c>
      <c r="J2663" s="149">
        <f t="shared" si="353"/>
        <v>1222</v>
      </c>
      <c r="K2663" s="650">
        <f t="shared" si="352"/>
        <v>0.50916666666666666</v>
      </c>
    </row>
    <row r="2664" spans="1:11" ht="24.95" customHeight="1">
      <c r="A2664" s="456" t="s">
        <v>5251</v>
      </c>
      <c r="B2664" s="792" t="s">
        <v>3674</v>
      </c>
      <c r="C2664" s="1324">
        <v>2</v>
      </c>
      <c r="D2664" s="1324">
        <v>4</v>
      </c>
      <c r="E2664" s="1322">
        <f t="shared" si="350"/>
        <v>2</v>
      </c>
      <c r="F2664" s="1324">
        <v>850</v>
      </c>
      <c r="G2664" s="1324">
        <v>504</v>
      </c>
      <c r="H2664" s="1322">
        <f t="shared" si="351"/>
        <v>0.59294117647058819</v>
      </c>
      <c r="I2664" s="1323">
        <f t="shared" si="355"/>
        <v>852</v>
      </c>
      <c r="J2664" s="149">
        <f t="shared" si="353"/>
        <v>508</v>
      </c>
      <c r="K2664" s="650">
        <f t="shared" si="352"/>
        <v>0.59624413145539901</v>
      </c>
    </row>
    <row r="2665" spans="1:11" ht="24.95" customHeight="1">
      <c r="A2665" s="456" t="s">
        <v>5252</v>
      </c>
      <c r="B2665" s="792" t="s">
        <v>5253</v>
      </c>
      <c r="C2665" s="1324"/>
      <c r="D2665" s="1324"/>
      <c r="E2665" s="1322" t="e">
        <f t="shared" si="350"/>
        <v>#DIV/0!</v>
      </c>
      <c r="F2665" s="1324">
        <v>60</v>
      </c>
      <c r="G2665" s="1324">
        <v>1</v>
      </c>
      <c r="H2665" s="1322">
        <f t="shared" si="351"/>
        <v>1.6666666666666666E-2</v>
      </c>
      <c r="I2665" s="1323">
        <f t="shared" si="355"/>
        <v>60</v>
      </c>
      <c r="J2665" s="149">
        <f t="shared" si="353"/>
        <v>1</v>
      </c>
      <c r="K2665" s="650">
        <f t="shared" si="352"/>
        <v>1.6666666666666666E-2</v>
      </c>
    </row>
    <row r="2666" spans="1:11" ht="24.95" customHeight="1">
      <c r="A2666" s="1221" t="s">
        <v>2439</v>
      </c>
      <c r="B2666" s="1249" t="s">
        <v>2440</v>
      </c>
      <c r="C2666" s="1324">
        <v>1</v>
      </c>
      <c r="D2666" s="1324"/>
      <c r="E2666" s="1322">
        <f t="shared" si="350"/>
        <v>0</v>
      </c>
      <c r="F2666" s="1324">
        <v>1300</v>
      </c>
      <c r="G2666" s="1324"/>
      <c r="H2666" s="1322">
        <f t="shared" si="351"/>
        <v>0</v>
      </c>
      <c r="I2666" s="1323">
        <f t="shared" si="355"/>
        <v>1301</v>
      </c>
      <c r="J2666" s="149">
        <f t="shared" si="353"/>
        <v>0</v>
      </c>
      <c r="K2666" s="650">
        <f t="shared" si="352"/>
        <v>0</v>
      </c>
    </row>
    <row r="2667" spans="1:11" ht="24.95" customHeight="1">
      <c r="A2667" s="456" t="s">
        <v>5254</v>
      </c>
      <c r="B2667" s="452" t="s">
        <v>5255</v>
      </c>
      <c r="C2667" s="1324">
        <v>1</v>
      </c>
      <c r="D2667" s="1324"/>
      <c r="E2667" s="1322">
        <f t="shared" si="350"/>
        <v>0</v>
      </c>
      <c r="F2667" s="1324">
        <v>100</v>
      </c>
      <c r="G2667" s="1324">
        <v>557</v>
      </c>
      <c r="H2667" s="1322">
        <f t="shared" si="351"/>
        <v>5.57</v>
      </c>
      <c r="I2667" s="1323">
        <f t="shared" si="355"/>
        <v>101</v>
      </c>
      <c r="J2667" s="149">
        <f t="shared" si="353"/>
        <v>557</v>
      </c>
      <c r="K2667" s="650">
        <f t="shared" si="352"/>
        <v>5.5148514851485144</v>
      </c>
    </row>
    <row r="2668" spans="1:11" ht="24.95" customHeight="1">
      <c r="A2668" s="456" t="s">
        <v>3801</v>
      </c>
      <c r="B2668" s="452" t="s">
        <v>5256</v>
      </c>
      <c r="C2668" s="1324"/>
      <c r="D2668" s="1324"/>
      <c r="E2668" s="1322" t="e">
        <f t="shared" si="350"/>
        <v>#DIV/0!</v>
      </c>
      <c r="F2668" s="1324">
        <v>5</v>
      </c>
      <c r="G2668" s="1324"/>
      <c r="H2668" s="1322">
        <f t="shared" si="351"/>
        <v>0</v>
      </c>
      <c r="I2668" s="1323">
        <f t="shared" si="355"/>
        <v>5</v>
      </c>
      <c r="J2668" s="149">
        <f t="shared" si="353"/>
        <v>0</v>
      </c>
      <c r="K2668" s="650">
        <f t="shared" si="352"/>
        <v>0</v>
      </c>
    </row>
    <row r="2669" spans="1:11" ht="24.95" customHeight="1">
      <c r="A2669" s="1221" t="s">
        <v>5257</v>
      </c>
      <c r="B2669" s="1246" t="s">
        <v>5258</v>
      </c>
      <c r="C2669" s="1324"/>
      <c r="D2669" s="1324"/>
      <c r="E2669" s="1322" t="e">
        <f t="shared" si="350"/>
        <v>#DIV/0!</v>
      </c>
      <c r="F2669" s="1324">
        <v>20</v>
      </c>
      <c r="G2669" s="1324"/>
      <c r="H2669" s="1322">
        <f t="shared" si="351"/>
        <v>0</v>
      </c>
      <c r="I2669" s="1323">
        <f t="shared" si="355"/>
        <v>20</v>
      </c>
      <c r="J2669" s="149">
        <f t="shared" si="353"/>
        <v>0</v>
      </c>
      <c r="K2669" s="650">
        <f t="shared" si="352"/>
        <v>0</v>
      </c>
    </row>
    <row r="2670" spans="1:11" ht="24.95" customHeight="1">
      <c r="A2670" s="1221" t="s">
        <v>3077</v>
      </c>
      <c r="B2670" s="1246" t="s">
        <v>5259</v>
      </c>
      <c r="C2670" s="1324"/>
      <c r="D2670" s="1324"/>
      <c r="E2670" s="1322" t="e">
        <f t="shared" si="350"/>
        <v>#DIV/0!</v>
      </c>
      <c r="F2670" s="1324">
        <v>60</v>
      </c>
      <c r="G2670" s="1324">
        <v>12</v>
      </c>
      <c r="H2670" s="1322">
        <f t="shared" si="351"/>
        <v>0.2</v>
      </c>
      <c r="I2670" s="1323">
        <f t="shared" si="355"/>
        <v>60</v>
      </c>
      <c r="J2670" s="149">
        <f t="shared" si="353"/>
        <v>12</v>
      </c>
      <c r="K2670" s="650">
        <f t="shared" si="352"/>
        <v>0.2</v>
      </c>
    </row>
    <row r="2671" spans="1:11" ht="24.95" customHeight="1">
      <c r="A2671" s="1221" t="s">
        <v>2894</v>
      </c>
      <c r="B2671" s="1249" t="s">
        <v>5260</v>
      </c>
      <c r="C2671" s="1324">
        <v>5</v>
      </c>
      <c r="D2671" s="1324">
        <v>1</v>
      </c>
      <c r="E2671" s="1322">
        <f t="shared" si="350"/>
        <v>0.2</v>
      </c>
      <c r="F2671" s="1324">
        <v>255</v>
      </c>
      <c r="G2671" s="1324">
        <v>53</v>
      </c>
      <c r="H2671" s="1322">
        <f t="shared" si="351"/>
        <v>0.20784313725490197</v>
      </c>
      <c r="I2671" s="1323">
        <f t="shared" si="355"/>
        <v>260</v>
      </c>
      <c r="J2671" s="149">
        <f t="shared" si="353"/>
        <v>54</v>
      </c>
      <c r="K2671" s="650">
        <f t="shared" si="352"/>
        <v>0.2076923076923077</v>
      </c>
    </row>
    <row r="2672" spans="1:11" ht="24.95" customHeight="1">
      <c r="A2672" s="1221" t="s">
        <v>3192</v>
      </c>
      <c r="B2672" s="1246" t="s">
        <v>3193</v>
      </c>
      <c r="C2672" s="1324">
        <v>1700</v>
      </c>
      <c r="D2672" s="1324">
        <v>1005</v>
      </c>
      <c r="E2672" s="1322">
        <f t="shared" si="350"/>
        <v>0.5911764705882353</v>
      </c>
      <c r="F2672" s="1324">
        <v>2200</v>
      </c>
      <c r="G2672" s="1324">
        <f>13+1128</f>
        <v>1141</v>
      </c>
      <c r="H2672" s="1322">
        <f t="shared" si="351"/>
        <v>0.51863636363636367</v>
      </c>
      <c r="I2672" s="1323">
        <f t="shared" si="355"/>
        <v>3900</v>
      </c>
      <c r="J2672" s="149">
        <f t="shared" si="353"/>
        <v>2146</v>
      </c>
      <c r="K2672" s="650">
        <f t="shared" si="352"/>
        <v>0.55025641025641026</v>
      </c>
    </row>
    <row r="2673" spans="1:11" ht="24.95" customHeight="1">
      <c r="A2673" s="456" t="s">
        <v>5261</v>
      </c>
      <c r="B2673" s="452" t="s">
        <v>3081</v>
      </c>
      <c r="C2673" s="1324">
        <v>30</v>
      </c>
      <c r="D2673" s="1324">
        <v>2</v>
      </c>
      <c r="E2673" s="1322">
        <f t="shared" si="350"/>
        <v>6.6666666666666666E-2</v>
      </c>
      <c r="F2673" s="1324">
        <v>270</v>
      </c>
      <c r="G2673" s="1324">
        <v>37</v>
      </c>
      <c r="H2673" s="1322">
        <f t="shared" si="351"/>
        <v>0.13703703703703704</v>
      </c>
      <c r="I2673" s="1323">
        <f t="shared" si="355"/>
        <v>300</v>
      </c>
      <c r="J2673" s="149">
        <f t="shared" si="353"/>
        <v>39</v>
      </c>
      <c r="K2673" s="650">
        <f t="shared" si="352"/>
        <v>0.13</v>
      </c>
    </row>
    <row r="2674" spans="1:11" ht="24.95" customHeight="1">
      <c r="A2674" s="456" t="s">
        <v>5262</v>
      </c>
      <c r="B2674" s="452" t="s">
        <v>5263</v>
      </c>
      <c r="C2674" s="1324"/>
      <c r="D2674" s="1324"/>
      <c r="E2674" s="1322" t="e">
        <f t="shared" ref="E2674:E2737" si="356">+D2674/C2674</f>
        <v>#DIV/0!</v>
      </c>
      <c r="F2674" s="1324">
        <v>6</v>
      </c>
      <c r="G2674" s="1324">
        <v>5</v>
      </c>
      <c r="H2674" s="1322">
        <f t="shared" ref="H2674:H2737" si="357">+G2674/F2674</f>
        <v>0.83333333333333337</v>
      </c>
      <c r="I2674" s="1323">
        <f t="shared" si="355"/>
        <v>6</v>
      </c>
      <c r="J2674" s="149">
        <f t="shared" si="353"/>
        <v>5</v>
      </c>
      <c r="K2674" s="650">
        <f t="shared" ref="K2674:K2737" si="358">+J2674/I2674</f>
        <v>0.83333333333333337</v>
      </c>
    </row>
    <row r="2675" spans="1:11" ht="24.95" customHeight="1">
      <c r="A2675" s="456" t="s">
        <v>5264</v>
      </c>
      <c r="B2675" s="452" t="s">
        <v>5265</v>
      </c>
      <c r="C2675" s="1324"/>
      <c r="D2675" s="1324"/>
      <c r="E2675" s="1322" t="e">
        <f t="shared" si="356"/>
        <v>#DIV/0!</v>
      </c>
      <c r="F2675" s="1324">
        <v>1</v>
      </c>
      <c r="G2675" s="1324"/>
      <c r="H2675" s="1322">
        <f t="shared" si="357"/>
        <v>0</v>
      </c>
      <c r="I2675" s="1323">
        <f t="shared" si="355"/>
        <v>1</v>
      </c>
      <c r="J2675" s="149">
        <f t="shared" si="353"/>
        <v>0</v>
      </c>
      <c r="K2675" s="650">
        <f t="shared" si="358"/>
        <v>0</v>
      </c>
    </row>
    <row r="2676" spans="1:11" ht="24.95" customHeight="1">
      <c r="A2676" s="456" t="s">
        <v>3696</v>
      </c>
      <c r="B2676" s="452" t="s">
        <v>2899</v>
      </c>
      <c r="C2676" s="1324">
        <v>3</v>
      </c>
      <c r="D2676" s="1324"/>
      <c r="E2676" s="1322">
        <f t="shared" si="356"/>
        <v>0</v>
      </c>
      <c r="F2676" s="1324">
        <v>150</v>
      </c>
      <c r="G2676" s="1324">
        <v>45</v>
      </c>
      <c r="H2676" s="1322">
        <f t="shared" si="357"/>
        <v>0.3</v>
      </c>
      <c r="I2676" s="1323">
        <f t="shared" si="355"/>
        <v>153</v>
      </c>
      <c r="J2676" s="149">
        <f t="shared" si="353"/>
        <v>45</v>
      </c>
      <c r="K2676" s="650">
        <f t="shared" si="358"/>
        <v>0.29411764705882354</v>
      </c>
    </row>
    <row r="2677" spans="1:11" ht="24.95" customHeight="1">
      <c r="A2677" s="456" t="s">
        <v>3082</v>
      </c>
      <c r="B2677" s="452" t="s">
        <v>3083</v>
      </c>
      <c r="C2677" s="1324">
        <v>35</v>
      </c>
      <c r="D2677" s="1324">
        <v>9</v>
      </c>
      <c r="E2677" s="1322">
        <f t="shared" si="356"/>
        <v>0.25714285714285712</v>
      </c>
      <c r="F2677" s="1324">
        <v>450</v>
      </c>
      <c r="G2677" s="1324">
        <v>300</v>
      </c>
      <c r="H2677" s="1322">
        <f t="shared" si="357"/>
        <v>0.66666666666666663</v>
      </c>
      <c r="I2677" s="1323">
        <f t="shared" si="355"/>
        <v>485</v>
      </c>
      <c r="J2677" s="149">
        <f t="shared" si="353"/>
        <v>309</v>
      </c>
      <c r="K2677" s="650">
        <f t="shared" si="358"/>
        <v>0.63711340206185563</v>
      </c>
    </row>
    <row r="2678" spans="1:11" ht="24.95" customHeight="1">
      <c r="A2678" s="456" t="s">
        <v>2449</v>
      </c>
      <c r="B2678" s="452" t="s">
        <v>3852</v>
      </c>
      <c r="C2678" s="1324">
        <v>3</v>
      </c>
      <c r="D2678" s="1324"/>
      <c r="E2678" s="1322">
        <f t="shared" si="356"/>
        <v>0</v>
      </c>
      <c r="F2678" s="1324">
        <v>10</v>
      </c>
      <c r="G2678" s="1324"/>
      <c r="H2678" s="1322">
        <f t="shared" si="357"/>
        <v>0</v>
      </c>
      <c r="I2678" s="1323">
        <f t="shared" si="355"/>
        <v>13</v>
      </c>
      <c r="J2678" s="149">
        <f t="shared" si="353"/>
        <v>0</v>
      </c>
      <c r="K2678" s="650">
        <f t="shared" si="358"/>
        <v>0</v>
      </c>
    </row>
    <row r="2679" spans="1:11" ht="24.95" customHeight="1">
      <c r="A2679" s="456" t="s">
        <v>2451</v>
      </c>
      <c r="B2679" s="452" t="s">
        <v>2452</v>
      </c>
      <c r="C2679" s="1324"/>
      <c r="D2679" s="1324"/>
      <c r="E2679" s="1322" t="e">
        <f t="shared" si="356"/>
        <v>#DIV/0!</v>
      </c>
      <c r="F2679" s="1324">
        <v>15</v>
      </c>
      <c r="G2679" s="1324"/>
      <c r="H2679" s="1322">
        <f t="shared" si="357"/>
        <v>0</v>
      </c>
      <c r="I2679" s="1323">
        <f t="shared" si="355"/>
        <v>15</v>
      </c>
      <c r="J2679" s="149">
        <f t="shared" si="353"/>
        <v>0</v>
      </c>
      <c r="K2679" s="650">
        <f t="shared" si="358"/>
        <v>0</v>
      </c>
    </row>
    <row r="2680" spans="1:11" ht="24.95" customHeight="1">
      <c r="A2680" s="456" t="s">
        <v>5266</v>
      </c>
      <c r="B2680" s="452" t="s">
        <v>5267</v>
      </c>
      <c r="C2680" s="1324"/>
      <c r="D2680" s="1324"/>
      <c r="E2680" s="1322" t="e">
        <f t="shared" si="356"/>
        <v>#DIV/0!</v>
      </c>
      <c r="F2680" s="1324">
        <v>2</v>
      </c>
      <c r="G2680" s="1324"/>
      <c r="H2680" s="1322">
        <f t="shared" si="357"/>
        <v>0</v>
      </c>
      <c r="I2680" s="1323">
        <f t="shared" si="355"/>
        <v>2</v>
      </c>
      <c r="J2680" s="149">
        <f t="shared" si="353"/>
        <v>0</v>
      </c>
      <c r="K2680" s="650">
        <f t="shared" si="358"/>
        <v>0</v>
      </c>
    </row>
    <row r="2681" spans="1:11" ht="24.95" customHeight="1">
      <c r="A2681" s="456" t="s">
        <v>2453</v>
      </c>
      <c r="B2681" s="452" t="s">
        <v>3706</v>
      </c>
      <c r="C2681" s="1324">
        <v>75</v>
      </c>
      <c r="D2681" s="1324">
        <v>30</v>
      </c>
      <c r="E2681" s="1322">
        <f t="shared" si="356"/>
        <v>0.4</v>
      </c>
      <c r="F2681" s="1324">
        <v>4550</v>
      </c>
      <c r="G2681" s="1324">
        <v>2989</v>
      </c>
      <c r="H2681" s="1322">
        <f t="shared" si="357"/>
        <v>0.65692307692307694</v>
      </c>
      <c r="I2681" s="1323">
        <f t="shared" si="355"/>
        <v>4625</v>
      </c>
      <c r="J2681" s="149">
        <f t="shared" si="353"/>
        <v>3019</v>
      </c>
      <c r="K2681" s="650">
        <f t="shared" si="358"/>
        <v>0.65275675675675671</v>
      </c>
    </row>
    <row r="2682" spans="1:11" ht="24.95" customHeight="1">
      <c r="A2682" s="456" t="s">
        <v>2455</v>
      </c>
      <c r="B2682" s="452" t="s">
        <v>2456</v>
      </c>
      <c r="C2682" s="1324">
        <v>1</v>
      </c>
      <c r="D2682" s="1324"/>
      <c r="E2682" s="1322">
        <f t="shared" si="356"/>
        <v>0</v>
      </c>
      <c r="F2682" s="1324">
        <v>500</v>
      </c>
      <c r="G2682" s="1324">
        <v>252</v>
      </c>
      <c r="H2682" s="1322">
        <f t="shared" si="357"/>
        <v>0.504</v>
      </c>
      <c r="I2682" s="1323">
        <f t="shared" si="355"/>
        <v>501</v>
      </c>
      <c r="J2682" s="149">
        <f t="shared" si="353"/>
        <v>252</v>
      </c>
      <c r="K2682" s="650">
        <f t="shared" si="358"/>
        <v>0.50299401197604787</v>
      </c>
    </row>
    <row r="2683" spans="1:11" ht="24.95" customHeight="1">
      <c r="A2683" s="456" t="s">
        <v>2459</v>
      </c>
      <c r="B2683" s="452" t="s">
        <v>2460</v>
      </c>
      <c r="C2683" s="1324"/>
      <c r="D2683" s="1324"/>
      <c r="E2683" s="1322" t="e">
        <f t="shared" si="356"/>
        <v>#DIV/0!</v>
      </c>
      <c r="F2683" s="1324"/>
      <c r="G2683" s="1324"/>
      <c r="H2683" s="1322" t="e">
        <f t="shared" si="357"/>
        <v>#DIV/0!</v>
      </c>
      <c r="I2683" s="1323">
        <f t="shared" si="355"/>
        <v>0</v>
      </c>
      <c r="J2683" s="149">
        <f t="shared" si="353"/>
        <v>0</v>
      </c>
      <c r="K2683" s="650" t="e">
        <f t="shared" si="358"/>
        <v>#DIV/0!</v>
      </c>
    </row>
    <row r="2684" spans="1:11" ht="24.95" customHeight="1">
      <c r="A2684" s="456" t="s">
        <v>2461</v>
      </c>
      <c r="B2684" s="452" t="s">
        <v>2462</v>
      </c>
      <c r="C2684" s="1324"/>
      <c r="D2684" s="1324"/>
      <c r="E2684" s="1322" t="e">
        <f t="shared" si="356"/>
        <v>#DIV/0!</v>
      </c>
      <c r="F2684" s="1324"/>
      <c r="G2684" s="1324"/>
      <c r="H2684" s="1322" t="e">
        <f t="shared" si="357"/>
        <v>#DIV/0!</v>
      </c>
      <c r="I2684" s="1323">
        <f t="shared" si="355"/>
        <v>0</v>
      </c>
      <c r="J2684" s="149">
        <f t="shared" si="353"/>
        <v>0</v>
      </c>
      <c r="K2684" s="650" t="e">
        <f t="shared" si="358"/>
        <v>#DIV/0!</v>
      </c>
    </row>
    <row r="2685" spans="1:11" ht="24.95" customHeight="1">
      <c r="A2685" s="456" t="s">
        <v>2467</v>
      </c>
      <c r="B2685" s="452" t="s">
        <v>2468</v>
      </c>
      <c r="C2685" s="1324">
        <v>3</v>
      </c>
      <c r="D2685" s="1324"/>
      <c r="E2685" s="1322">
        <f t="shared" si="356"/>
        <v>0</v>
      </c>
      <c r="F2685" s="1324">
        <v>5</v>
      </c>
      <c r="G2685" s="1324"/>
      <c r="H2685" s="1322">
        <f t="shared" si="357"/>
        <v>0</v>
      </c>
      <c r="I2685" s="1323">
        <f t="shared" si="355"/>
        <v>8</v>
      </c>
      <c r="J2685" s="149">
        <f t="shared" si="353"/>
        <v>0</v>
      </c>
      <c r="K2685" s="650">
        <f t="shared" si="358"/>
        <v>0</v>
      </c>
    </row>
    <row r="2686" spans="1:11" ht="24.95" customHeight="1">
      <c r="A2686" s="456" t="s">
        <v>2469</v>
      </c>
      <c r="B2686" s="452" t="s">
        <v>2470</v>
      </c>
      <c r="C2686" s="1324"/>
      <c r="D2686" s="1324"/>
      <c r="E2686" s="1322" t="e">
        <f t="shared" si="356"/>
        <v>#DIV/0!</v>
      </c>
      <c r="F2686" s="1324">
        <v>3</v>
      </c>
      <c r="G2686" s="1324"/>
      <c r="H2686" s="1322">
        <f t="shared" si="357"/>
        <v>0</v>
      </c>
      <c r="I2686" s="1323">
        <f t="shared" si="355"/>
        <v>3</v>
      </c>
      <c r="J2686" s="149">
        <f t="shared" si="353"/>
        <v>0</v>
      </c>
      <c r="K2686" s="650">
        <f t="shared" si="358"/>
        <v>0</v>
      </c>
    </row>
    <row r="2687" spans="1:11" ht="24.95" customHeight="1">
      <c r="A2687" s="1325" t="s">
        <v>5268</v>
      </c>
      <c r="B2687" s="1236" t="s">
        <v>2474</v>
      </c>
      <c r="C2687" s="1324"/>
      <c r="D2687" s="1324"/>
      <c r="E2687" s="1322" t="e">
        <f t="shared" si="356"/>
        <v>#DIV/0!</v>
      </c>
      <c r="F2687" s="1324">
        <v>2</v>
      </c>
      <c r="G2687" s="1324"/>
      <c r="H2687" s="1322">
        <f t="shared" si="357"/>
        <v>0</v>
      </c>
      <c r="I2687" s="1323">
        <f t="shared" si="355"/>
        <v>2</v>
      </c>
      <c r="J2687" s="149">
        <f t="shared" si="353"/>
        <v>0</v>
      </c>
      <c r="K2687" s="650">
        <f t="shared" si="358"/>
        <v>0</v>
      </c>
    </row>
    <row r="2688" spans="1:11" ht="24.95" customHeight="1">
      <c r="A2688" s="1325" t="s">
        <v>5269</v>
      </c>
      <c r="B2688" s="1236" t="s">
        <v>5270</v>
      </c>
      <c r="C2688" s="1324">
        <v>70</v>
      </c>
      <c r="D2688" s="1324">
        <v>38</v>
      </c>
      <c r="E2688" s="1322">
        <f t="shared" si="356"/>
        <v>0.54285714285714282</v>
      </c>
      <c r="F2688" s="1324">
        <v>1</v>
      </c>
      <c r="G2688" s="1324"/>
      <c r="H2688" s="1322">
        <f t="shared" si="357"/>
        <v>0</v>
      </c>
      <c r="I2688" s="1323">
        <f t="shared" si="355"/>
        <v>71</v>
      </c>
      <c r="J2688" s="149">
        <f t="shared" si="353"/>
        <v>38</v>
      </c>
      <c r="K2688" s="650">
        <f t="shared" si="358"/>
        <v>0.53521126760563376</v>
      </c>
    </row>
    <row r="2689" spans="1:11" ht="24.95" customHeight="1">
      <c r="A2689" s="1325" t="s">
        <v>5271</v>
      </c>
      <c r="B2689" s="1236" t="s">
        <v>5272</v>
      </c>
      <c r="C2689" s="1324"/>
      <c r="D2689" s="1324"/>
      <c r="E2689" s="1322" t="e">
        <f t="shared" si="356"/>
        <v>#DIV/0!</v>
      </c>
      <c r="F2689" s="1324">
        <v>1</v>
      </c>
      <c r="G2689" s="1324"/>
      <c r="H2689" s="1322">
        <f t="shared" si="357"/>
        <v>0</v>
      </c>
      <c r="I2689" s="1323">
        <f t="shared" si="355"/>
        <v>1</v>
      </c>
      <c r="J2689" s="149">
        <f t="shared" si="353"/>
        <v>0</v>
      </c>
      <c r="K2689" s="650">
        <f t="shared" si="358"/>
        <v>0</v>
      </c>
    </row>
    <row r="2690" spans="1:11" ht="24.95" customHeight="1">
      <c r="A2690" s="456" t="s">
        <v>3086</v>
      </c>
      <c r="B2690" s="452" t="s">
        <v>3087</v>
      </c>
      <c r="C2690" s="1324"/>
      <c r="D2690" s="1324"/>
      <c r="E2690" s="1322" t="e">
        <f t="shared" si="356"/>
        <v>#DIV/0!</v>
      </c>
      <c r="F2690" s="1324">
        <v>100</v>
      </c>
      <c r="G2690" s="1324">
        <v>33</v>
      </c>
      <c r="H2690" s="1322">
        <f t="shared" si="357"/>
        <v>0.33</v>
      </c>
      <c r="I2690" s="1323">
        <f t="shared" si="355"/>
        <v>100</v>
      </c>
      <c r="J2690" s="149">
        <f t="shared" si="353"/>
        <v>33</v>
      </c>
      <c r="K2690" s="650">
        <f t="shared" si="358"/>
        <v>0.33</v>
      </c>
    </row>
    <row r="2691" spans="1:11" ht="24.95" customHeight="1">
      <c r="A2691" s="456" t="s">
        <v>2942</v>
      </c>
      <c r="B2691" s="452" t="s">
        <v>2943</v>
      </c>
      <c r="C2691" s="1324">
        <v>1</v>
      </c>
      <c r="D2691" s="1324"/>
      <c r="E2691" s="1322">
        <f t="shared" si="356"/>
        <v>0</v>
      </c>
      <c r="F2691" s="1324">
        <v>0</v>
      </c>
      <c r="G2691" s="1324"/>
      <c r="H2691" s="1322" t="e">
        <f t="shared" si="357"/>
        <v>#DIV/0!</v>
      </c>
      <c r="I2691" s="1323">
        <f t="shared" si="355"/>
        <v>1</v>
      </c>
      <c r="J2691" s="149">
        <f t="shared" si="353"/>
        <v>0</v>
      </c>
      <c r="K2691" s="650">
        <f t="shared" si="358"/>
        <v>0</v>
      </c>
    </row>
    <row r="2692" spans="1:11" ht="24.95" customHeight="1">
      <c r="A2692" s="456" t="s">
        <v>5273</v>
      </c>
      <c r="B2692" s="452" t="s">
        <v>5274</v>
      </c>
      <c r="C2692" s="1324">
        <v>3</v>
      </c>
      <c r="D2692" s="1324"/>
      <c r="E2692" s="1322">
        <f t="shared" si="356"/>
        <v>0</v>
      </c>
      <c r="F2692" s="1324">
        <v>5</v>
      </c>
      <c r="G2692" s="1324"/>
      <c r="H2692" s="1322">
        <f t="shared" si="357"/>
        <v>0</v>
      </c>
      <c r="I2692" s="1323">
        <f t="shared" si="355"/>
        <v>8</v>
      </c>
      <c r="J2692" s="149">
        <f t="shared" si="353"/>
        <v>0</v>
      </c>
      <c r="K2692" s="650">
        <f t="shared" si="358"/>
        <v>0</v>
      </c>
    </row>
    <row r="2693" spans="1:11" ht="24.95" customHeight="1">
      <c r="A2693" s="456" t="s">
        <v>5275</v>
      </c>
      <c r="B2693" s="452" t="s">
        <v>5276</v>
      </c>
      <c r="C2693" s="1324">
        <v>135</v>
      </c>
      <c r="D2693" s="1324">
        <v>58</v>
      </c>
      <c r="E2693" s="1322">
        <f t="shared" si="356"/>
        <v>0.42962962962962964</v>
      </c>
      <c r="F2693" s="1324">
        <v>20</v>
      </c>
      <c r="G2693" s="1324">
        <v>7</v>
      </c>
      <c r="H2693" s="1322">
        <f t="shared" si="357"/>
        <v>0.35</v>
      </c>
      <c r="I2693" s="1323">
        <f t="shared" si="355"/>
        <v>155</v>
      </c>
      <c r="J2693" s="149">
        <f t="shared" si="353"/>
        <v>65</v>
      </c>
      <c r="K2693" s="650">
        <f t="shared" si="358"/>
        <v>0.41935483870967744</v>
      </c>
    </row>
    <row r="2694" spans="1:11" ht="24.95" customHeight="1">
      <c r="A2694" s="456" t="s">
        <v>3884</v>
      </c>
      <c r="B2694" s="452" t="s">
        <v>3885</v>
      </c>
      <c r="C2694" s="1324">
        <v>5</v>
      </c>
      <c r="D2694" s="1324"/>
      <c r="E2694" s="1322">
        <f t="shared" si="356"/>
        <v>0</v>
      </c>
      <c r="F2694" s="1324">
        <v>5</v>
      </c>
      <c r="G2694" s="1324"/>
      <c r="H2694" s="1322">
        <f t="shared" si="357"/>
        <v>0</v>
      </c>
      <c r="I2694" s="1323">
        <f t="shared" si="355"/>
        <v>10</v>
      </c>
      <c r="J2694" s="149">
        <f t="shared" si="353"/>
        <v>0</v>
      </c>
      <c r="K2694" s="650">
        <f t="shared" si="358"/>
        <v>0</v>
      </c>
    </row>
    <row r="2695" spans="1:11" ht="24.95" customHeight="1">
      <c r="A2695" s="456" t="s">
        <v>3195</v>
      </c>
      <c r="B2695" s="452" t="s">
        <v>3196</v>
      </c>
      <c r="C2695" s="1324">
        <v>210</v>
      </c>
      <c r="D2695" s="1324">
        <v>65</v>
      </c>
      <c r="E2695" s="1322">
        <f t="shared" si="356"/>
        <v>0.30952380952380953</v>
      </c>
      <c r="F2695" s="1324">
        <v>680</v>
      </c>
      <c r="G2695" s="1324">
        <v>222</v>
      </c>
      <c r="H2695" s="1322">
        <f t="shared" si="357"/>
        <v>0.32647058823529412</v>
      </c>
      <c r="I2695" s="1323">
        <f t="shared" si="355"/>
        <v>890</v>
      </c>
      <c r="J2695" s="149">
        <f t="shared" si="353"/>
        <v>287</v>
      </c>
      <c r="K2695" s="650">
        <f t="shared" si="358"/>
        <v>0.32247191011235954</v>
      </c>
    </row>
    <row r="2696" spans="1:11" ht="24.95" customHeight="1">
      <c r="A2696" s="456" t="s">
        <v>5277</v>
      </c>
      <c r="B2696" s="452" t="s">
        <v>5278</v>
      </c>
      <c r="C2696" s="1324">
        <v>1</v>
      </c>
      <c r="D2696" s="1324"/>
      <c r="E2696" s="1322">
        <f t="shared" si="356"/>
        <v>0</v>
      </c>
      <c r="F2696" s="1324">
        <v>2</v>
      </c>
      <c r="G2696" s="1324"/>
      <c r="H2696" s="1322">
        <f t="shared" si="357"/>
        <v>0</v>
      </c>
      <c r="I2696" s="1323">
        <f t="shared" si="355"/>
        <v>3</v>
      </c>
      <c r="J2696" s="149">
        <f t="shared" si="353"/>
        <v>0</v>
      </c>
      <c r="K2696" s="650">
        <f t="shared" si="358"/>
        <v>0</v>
      </c>
    </row>
    <row r="2697" spans="1:11" ht="24.95" customHeight="1">
      <c r="A2697" s="456" t="s">
        <v>5279</v>
      </c>
      <c r="B2697" s="452" t="s">
        <v>5280</v>
      </c>
      <c r="C2697" s="1324"/>
      <c r="D2697" s="1324"/>
      <c r="E2697" s="1322" t="e">
        <f t="shared" si="356"/>
        <v>#DIV/0!</v>
      </c>
      <c r="F2697" s="1324">
        <v>1</v>
      </c>
      <c r="G2697" s="1324"/>
      <c r="H2697" s="1322">
        <f t="shared" si="357"/>
        <v>0</v>
      </c>
      <c r="I2697" s="1323">
        <f t="shared" si="355"/>
        <v>1</v>
      </c>
      <c r="J2697" s="149">
        <f t="shared" si="353"/>
        <v>0</v>
      </c>
      <c r="K2697" s="650">
        <f t="shared" si="358"/>
        <v>0</v>
      </c>
    </row>
    <row r="2698" spans="1:11" ht="24.95" customHeight="1">
      <c r="A2698" s="456" t="s">
        <v>5281</v>
      </c>
      <c r="B2698" s="452" t="s">
        <v>5282</v>
      </c>
      <c r="C2698" s="1324"/>
      <c r="D2698" s="1324"/>
      <c r="E2698" s="1322" t="e">
        <f t="shared" si="356"/>
        <v>#DIV/0!</v>
      </c>
      <c r="F2698" s="1324">
        <v>1</v>
      </c>
      <c r="G2698" s="1324"/>
      <c r="H2698" s="1322">
        <f t="shared" si="357"/>
        <v>0</v>
      </c>
      <c r="I2698" s="1323">
        <f t="shared" si="355"/>
        <v>1</v>
      </c>
      <c r="J2698" s="149">
        <f t="shared" si="353"/>
        <v>0</v>
      </c>
      <c r="K2698" s="650">
        <f t="shared" si="358"/>
        <v>0</v>
      </c>
    </row>
    <row r="2699" spans="1:11" ht="24.95" customHeight="1">
      <c r="A2699" s="456" t="s">
        <v>3807</v>
      </c>
      <c r="B2699" s="1246" t="s">
        <v>2947</v>
      </c>
      <c r="C2699" s="1324">
        <v>530</v>
      </c>
      <c r="D2699" s="1324">
        <v>303</v>
      </c>
      <c r="E2699" s="1322">
        <f t="shared" si="356"/>
        <v>0.57169811320754715</v>
      </c>
      <c r="F2699" s="1324">
        <v>640</v>
      </c>
      <c r="G2699" s="1324">
        <f>5+167</f>
        <v>172</v>
      </c>
      <c r="H2699" s="1322">
        <f t="shared" si="357"/>
        <v>0.26874999999999999</v>
      </c>
      <c r="I2699" s="1323">
        <f t="shared" si="355"/>
        <v>1170</v>
      </c>
      <c r="J2699" s="149">
        <f t="shared" si="353"/>
        <v>475</v>
      </c>
      <c r="K2699" s="650">
        <f t="shared" si="358"/>
        <v>0.40598290598290598</v>
      </c>
    </row>
    <row r="2700" spans="1:11" ht="24.95" customHeight="1">
      <c r="A2700" s="456" t="s">
        <v>3810</v>
      </c>
      <c r="B2700" s="1246" t="s">
        <v>3811</v>
      </c>
      <c r="C2700" s="1324">
        <v>1150</v>
      </c>
      <c r="D2700" s="1324">
        <v>997</v>
      </c>
      <c r="E2700" s="1322">
        <f t="shared" si="356"/>
        <v>0.8669565217391304</v>
      </c>
      <c r="F2700" s="1324">
        <v>2805</v>
      </c>
      <c r="G2700" s="1324">
        <f>6+1458</f>
        <v>1464</v>
      </c>
      <c r="H2700" s="1322">
        <f t="shared" si="357"/>
        <v>0.52192513368983962</v>
      </c>
      <c r="I2700" s="1323">
        <f t="shared" si="355"/>
        <v>3955</v>
      </c>
      <c r="J2700" s="149">
        <f t="shared" si="353"/>
        <v>2461</v>
      </c>
      <c r="K2700" s="650">
        <f t="shared" si="358"/>
        <v>0.62225031605562575</v>
      </c>
    </row>
    <row r="2701" spans="1:11" ht="24.95" customHeight="1">
      <c r="A2701" s="456" t="s">
        <v>5283</v>
      </c>
      <c r="B2701" s="452" t="s">
        <v>5284</v>
      </c>
      <c r="C2701" s="1324">
        <v>80</v>
      </c>
      <c r="D2701" s="1324">
        <v>7</v>
      </c>
      <c r="E2701" s="1322">
        <f t="shared" si="356"/>
        <v>8.7499999999999994E-2</v>
      </c>
      <c r="F2701" s="1324">
        <v>1420</v>
      </c>
      <c r="G2701" s="1324">
        <v>315</v>
      </c>
      <c r="H2701" s="1322">
        <f t="shared" si="357"/>
        <v>0.22183098591549297</v>
      </c>
      <c r="I2701" s="1323">
        <f t="shared" si="355"/>
        <v>1500</v>
      </c>
      <c r="J2701" s="149">
        <f t="shared" si="353"/>
        <v>322</v>
      </c>
      <c r="K2701" s="650">
        <f t="shared" si="358"/>
        <v>0.21466666666666667</v>
      </c>
    </row>
    <row r="2702" spans="1:11" ht="24.95" customHeight="1">
      <c r="A2702" s="456" t="s">
        <v>3812</v>
      </c>
      <c r="B2702" s="452" t="s">
        <v>3813</v>
      </c>
      <c r="C2702" s="1324">
        <v>350</v>
      </c>
      <c r="D2702" s="1324">
        <v>440</v>
      </c>
      <c r="E2702" s="1322">
        <f t="shared" si="356"/>
        <v>1.2571428571428571</v>
      </c>
      <c r="F2702" s="1324">
        <v>980</v>
      </c>
      <c r="G2702" s="1324">
        <v>328</v>
      </c>
      <c r="H2702" s="1322">
        <f t="shared" si="357"/>
        <v>0.33469387755102042</v>
      </c>
      <c r="I2702" s="1323">
        <f t="shared" si="355"/>
        <v>1330</v>
      </c>
      <c r="J2702" s="149">
        <f t="shared" si="355"/>
        <v>768</v>
      </c>
      <c r="K2702" s="650">
        <f t="shared" si="358"/>
        <v>0.57744360902255643</v>
      </c>
    </row>
    <row r="2703" spans="1:11" ht="24.95" customHeight="1">
      <c r="A2703" s="456" t="s">
        <v>5285</v>
      </c>
      <c r="B2703" s="1246" t="s">
        <v>5286</v>
      </c>
      <c r="C2703" s="1324">
        <v>100</v>
      </c>
      <c r="D2703" s="1324">
        <v>29</v>
      </c>
      <c r="E2703" s="1322">
        <f t="shared" si="356"/>
        <v>0.28999999999999998</v>
      </c>
      <c r="F2703" s="1324">
        <v>100</v>
      </c>
      <c r="G2703" s="1324">
        <v>3</v>
      </c>
      <c r="H2703" s="1322">
        <f t="shared" si="357"/>
        <v>0.03</v>
      </c>
      <c r="I2703" s="1323">
        <f t="shared" ref="I2703:J2734" si="359">+C2703+F2703</f>
        <v>200</v>
      </c>
      <c r="J2703" s="149">
        <f t="shared" si="359"/>
        <v>32</v>
      </c>
      <c r="K2703" s="650">
        <f t="shared" si="358"/>
        <v>0.16</v>
      </c>
    </row>
    <row r="2704" spans="1:11" ht="24.95" customHeight="1">
      <c r="A2704" s="456" t="s">
        <v>3940</v>
      </c>
      <c r="B2704" s="1246" t="s">
        <v>4152</v>
      </c>
      <c r="C2704" s="1324"/>
      <c r="D2704" s="1324"/>
      <c r="E2704" s="1322" t="e">
        <f t="shared" si="356"/>
        <v>#DIV/0!</v>
      </c>
      <c r="F2704" s="1324">
        <v>5</v>
      </c>
      <c r="G2704" s="1324">
        <v>4</v>
      </c>
      <c r="H2704" s="1322">
        <f t="shared" si="357"/>
        <v>0.8</v>
      </c>
      <c r="I2704" s="1323">
        <f t="shared" si="359"/>
        <v>5</v>
      </c>
      <c r="J2704" s="149">
        <f t="shared" si="359"/>
        <v>4</v>
      </c>
      <c r="K2704" s="650">
        <f t="shared" si="358"/>
        <v>0.8</v>
      </c>
    </row>
    <row r="2705" spans="1:11" ht="24.95" customHeight="1">
      <c r="A2705" s="456" t="s">
        <v>3155</v>
      </c>
      <c r="B2705" s="1246" t="s">
        <v>5287</v>
      </c>
      <c r="C2705" s="1324">
        <v>270</v>
      </c>
      <c r="D2705" s="1324">
        <v>200</v>
      </c>
      <c r="E2705" s="1322">
        <f t="shared" si="356"/>
        <v>0.7407407407407407</v>
      </c>
      <c r="F2705" s="1324">
        <v>25</v>
      </c>
      <c r="G2705" s="1324">
        <f>1+1</f>
        <v>2</v>
      </c>
      <c r="H2705" s="1322">
        <f t="shared" si="357"/>
        <v>0.08</v>
      </c>
      <c r="I2705" s="1323">
        <f t="shared" si="359"/>
        <v>295</v>
      </c>
      <c r="J2705" s="149">
        <f t="shared" si="359"/>
        <v>202</v>
      </c>
      <c r="K2705" s="650">
        <f t="shared" si="358"/>
        <v>0.68474576271186438</v>
      </c>
    </row>
    <row r="2706" spans="1:11" ht="24.95" customHeight="1">
      <c r="A2706" s="456" t="s">
        <v>3853</v>
      </c>
      <c r="B2706" s="452" t="s">
        <v>2950</v>
      </c>
      <c r="C2706" s="1324">
        <v>520</v>
      </c>
      <c r="D2706" s="1324">
        <v>185</v>
      </c>
      <c r="E2706" s="1322">
        <f t="shared" si="356"/>
        <v>0.35576923076923078</v>
      </c>
      <c r="F2706" s="1324">
        <v>600</v>
      </c>
      <c r="G2706" s="1324">
        <v>194</v>
      </c>
      <c r="H2706" s="1322">
        <f t="shared" si="357"/>
        <v>0.32333333333333331</v>
      </c>
      <c r="I2706" s="1323">
        <f t="shared" si="359"/>
        <v>1120</v>
      </c>
      <c r="J2706" s="149">
        <f t="shared" si="359"/>
        <v>379</v>
      </c>
      <c r="K2706" s="650">
        <f t="shared" si="358"/>
        <v>0.33839285714285716</v>
      </c>
    </row>
    <row r="2707" spans="1:11" ht="24.95" customHeight="1">
      <c r="A2707" s="456" t="s">
        <v>3730</v>
      </c>
      <c r="B2707" s="452" t="s">
        <v>5288</v>
      </c>
      <c r="C2707" s="1324">
        <v>20</v>
      </c>
      <c r="D2707" s="1324">
        <v>1</v>
      </c>
      <c r="E2707" s="1322">
        <f t="shared" si="356"/>
        <v>0.05</v>
      </c>
      <c r="F2707" s="1324"/>
      <c r="G2707" s="1324"/>
      <c r="H2707" s="1322" t="e">
        <f t="shared" si="357"/>
        <v>#DIV/0!</v>
      </c>
      <c r="I2707" s="1323">
        <f t="shared" si="359"/>
        <v>20</v>
      </c>
      <c r="J2707" s="149">
        <f t="shared" si="359"/>
        <v>1</v>
      </c>
      <c r="K2707" s="650">
        <f t="shared" si="358"/>
        <v>0.05</v>
      </c>
    </row>
    <row r="2708" spans="1:11" ht="24.95" customHeight="1">
      <c r="A2708" s="456" t="s">
        <v>3732</v>
      </c>
      <c r="B2708" s="452" t="s">
        <v>3733</v>
      </c>
      <c r="C2708" s="1324">
        <v>2</v>
      </c>
      <c r="D2708" s="1324"/>
      <c r="E2708" s="1322">
        <f t="shared" si="356"/>
        <v>0</v>
      </c>
      <c r="F2708" s="1324"/>
      <c r="G2708" s="1324"/>
      <c r="H2708" s="1322" t="e">
        <f t="shared" si="357"/>
        <v>#DIV/0!</v>
      </c>
      <c r="I2708" s="1323">
        <f t="shared" si="359"/>
        <v>2</v>
      </c>
      <c r="J2708" s="149">
        <f t="shared" si="359"/>
        <v>0</v>
      </c>
      <c r="K2708" s="650">
        <f t="shared" si="358"/>
        <v>0</v>
      </c>
    </row>
    <row r="2709" spans="1:11" ht="24.95" customHeight="1">
      <c r="A2709" s="456" t="s">
        <v>2951</v>
      </c>
      <c r="B2709" s="452" t="s">
        <v>3856</v>
      </c>
      <c r="C2709" s="1324">
        <v>360</v>
      </c>
      <c r="D2709" s="1324">
        <v>134</v>
      </c>
      <c r="E2709" s="1322">
        <f t="shared" si="356"/>
        <v>0.37222222222222223</v>
      </c>
      <c r="F2709" s="1324">
        <v>125</v>
      </c>
      <c r="G2709" s="1324">
        <f>1+3</f>
        <v>4</v>
      </c>
      <c r="H2709" s="1322">
        <f t="shared" si="357"/>
        <v>3.2000000000000001E-2</v>
      </c>
      <c r="I2709" s="1323">
        <f t="shared" si="359"/>
        <v>485</v>
      </c>
      <c r="J2709" s="149">
        <f t="shared" si="359"/>
        <v>138</v>
      </c>
      <c r="K2709" s="650">
        <f t="shared" si="358"/>
        <v>0.28453608247422679</v>
      </c>
    </row>
    <row r="2710" spans="1:11" ht="24.95" customHeight="1">
      <c r="A2710" s="456" t="s">
        <v>2953</v>
      </c>
      <c r="B2710" s="452" t="s">
        <v>2954</v>
      </c>
      <c r="C2710" s="1324">
        <v>5</v>
      </c>
      <c r="D2710" s="1324"/>
      <c r="E2710" s="1322">
        <f t="shared" si="356"/>
        <v>0</v>
      </c>
      <c r="F2710" s="1324"/>
      <c r="G2710" s="1324"/>
      <c r="H2710" s="1322" t="e">
        <f t="shared" si="357"/>
        <v>#DIV/0!</v>
      </c>
      <c r="I2710" s="1323">
        <f t="shared" si="359"/>
        <v>5</v>
      </c>
      <c r="J2710" s="149">
        <f t="shared" si="359"/>
        <v>0</v>
      </c>
      <c r="K2710" s="650">
        <f t="shared" si="358"/>
        <v>0</v>
      </c>
    </row>
    <row r="2711" spans="1:11" ht="24.95" customHeight="1">
      <c r="A2711" s="456" t="s">
        <v>2955</v>
      </c>
      <c r="B2711" s="452" t="s">
        <v>2956</v>
      </c>
      <c r="C2711" s="1324">
        <v>1550</v>
      </c>
      <c r="D2711" s="1324">
        <v>1206</v>
      </c>
      <c r="E2711" s="1322">
        <f t="shared" si="356"/>
        <v>0.77806451612903227</v>
      </c>
      <c r="F2711" s="1324">
        <v>580</v>
      </c>
      <c r="G2711" s="1324">
        <f>2+224</f>
        <v>226</v>
      </c>
      <c r="H2711" s="1322">
        <f t="shared" si="357"/>
        <v>0.3896551724137931</v>
      </c>
      <c r="I2711" s="1323">
        <f t="shared" si="359"/>
        <v>2130</v>
      </c>
      <c r="J2711" s="149">
        <f t="shared" si="359"/>
        <v>1432</v>
      </c>
      <c r="K2711" s="650">
        <f t="shared" si="358"/>
        <v>0.67230046948356803</v>
      </c>
    </row>
    <row r="2712" spans="1:11" ht="24.95" customHeight="1">
      <c r="A2712" s="456" t="s">
        <v>5289</v>
      </c>
      <c r="B2712" s="452" t="s">
        <v>5290</v>
      </c>
      <c r="C2712" s="1324">
        <v>5</v>
      </c>
      <c r="D2712" s="1324"/>
      <c r="E2712" s="1322">
        <f t="shared" si="356"/>
        <v>0</v>
      </c>
      <c r="F2712" s="1324">
        <v>5</v>
      </c>
      <c r="G2712" s="1324"/>
      <c r="H2712" s="1322">
        <f t="shared" si="357"/>
        <v>0</v>
      </c>
      <c r="I2712" s="1323">
        <f t="shared" si="359"/>
        <v>10</v>
      </c>
      <c r="J2712" s="149">
        <f t="shared" si="359"/>
        <v>0</v>
      </c>
      <c r="K2712" s="650">
        <f t="shared" si="358"/>
        <v>0</v>
      </c>
    </row>
    <row r="2713" spans="1:11" ht="24.95" customHeight="1">
      <c r="A2713" s="456" t="s">
        <v>5291</v>
      </c>
      <c r="B2713" s="452" t="s">
        <v>5292</v>
      </c>
      <c r="C2713" s="1324">
        <v>170</v>
      </c>
      <c r="D2713" s="1324">
        <v>60</v>
      </c>
      <c r="E2713" s="1322">
        <f t="shared" si="356"/>
        <v>0.35294117647058826</v>
      </c>
      <c r="F2713" s="1324">
        <v>25</v>
      </c>
      <c r="G2713" s="1324"/>
      <c r="H2713" s="1322">
        <f t="shared" si="357"/>
        <v>0</v>
      </c>
      <c r="I2713" s="1323">
        <f t="shared" si="359"/>
        <v>195</v>
      </c>
      <c r="J2713" s="149">
        <f t="shared" si="359"/>
        <v>60</v>
      </c>
      <c r="K2713" s="650">
        <f t="shared" si="358"/>
        <v>0.30769230769230771</v>
      </c>
    </row>
    <row r="2714" spans="1:11" ht="24.95" customHeight="1">
      <c r="A2714" s="456" t="s">
        <v>5293</v>
      </c>
      <c r="B2714" s="452" t="s">
        <v>5294</v>
      </c>
      <c r="C2714" s="1324">
        <v>10</v>
      </c>
      <c r="D2714" s="1324"/>
      <c r="E2714" s="1322">
        <f t="shared" si="356"/>
        <v>0</v>
      </c>
      <c r="F2714" s="1324">
        <v>5</v>
      </c>
      <c r="G2714" s="1324">
        <v>2</v>
      </c>
      <c r="H2714" s="1322">
        <f t="shared" si="357"/>
        <v>0.4</v>
      </c>
      <c r="I2714" s="1323">
        <f t="shared" si="359"/>
        <v>15</v>
      </c>
      <c r="J2714" s="149">
        <f t="shared" si="359"/>
        <v>2</v>
      </c>
      <c r="K2714" s="650">
        <f t="shared" si="358"/>
        <v>0.13333333333333333</v>
      </c>
    </row>
    <row r="2715" spans="1:11" ht="24.95" customHeight="1">
      <c r="A2715" s="456" t="s">
        <v>5295</v>
      </c>
      <c r="B2715" s="452" t="s">
        <v>5296</v>
      </c>
      <c r="C2715" s="1324">
        <v>2</v>
      </c>
      <c r="D2715" s="1324"/>
      <c r="E2715" s="1322">
        <f t="shared" si="356"/>
        <v>0</v>
      </c>
      <c r="F2715" s="1324"/>
      <c r="G2715" s="1324"/>
      <c r="H2715" s="1322" t="e">
        <f t="shared" si="357"/>
        <v>#DIV/0!</v>
      </c>
      <c r="I2715" s="1323">
        <f t="shared" si="359"/>
        <v>2</v>
      </c>
      <c r="J2715" s="149">
        <f t="shared" si="359"/>
        <v>0</v>
      </c>
      <c r="K2715" s="650">
        <f t="shared" si="358"/>
        <v>0</v>
      </c>
    </row>
    <row r="2716" spans="1:11" s="719" customFormat="1" ht="24.95" customHeight="1">
      <c r="A2716" s="456" t="s">
        <v>2615</v>
      </c>
      <c r="B2716" s="452" t="s">
        <v>3200</v>
      </c>
      <c r="C2716" s="1324"/>
      <c r="D2716" s="1324"/>
      <c r="E2716" s="1322" t="e">
        <f t="shared" si="356"/>
        <v>#DIV/0!</v>
      </c>
      <c r="F2716" s="1324">
        <v>900</v>
      </c>
      <c r="G2716" s="1324">
        <v>315</v>
      </c>
      <c r="H2716" s="1322">
        <f t="shared" si="357"/>
        <v>0.35</v>
      </c>
      <c r="I2716" s="1323">
        <f t="shared" si="359"/>
        <v>900</v>
      </c>
      <c r="J2716" s="149">
        <f t="shared" si="359"/>
        <v>315</v>
      </c>
      <c r="K2716" s="650">
        <f t="shared" si="358"/>
        <v>0.35</v>
      </c>
    </row>
    <row r="2717" spans="1:11" ht="24.95" customHeight="1">
      <c r="A2717" s="456" t="s">
        <v>2611</v>
      </c>
      <c r="B2717" s="452" t="s">
        <v>4100</v>
      </c>
      <c r="C2717" s="1324">
        <v>120</v>
      </c>
      <c r="D2717" s="1324">
        <v>159</v>
      </c>
      <c r="E2717" s="1322">
        <f t="shared" si="356"/>
        <v>1.325</v>
      </c>
      <c r="F2717" s="1324">
        <v>25</v>
      </c>
      <c r="G2717" s="1324"/>
      <c r="H2717" s="1322">
        <f t="shared" si="357"/>
        <v>0</v>
      </c>
      <c r="I2717" s="1323">
        <f t="shared" si="359"/>
        <v>145</v>
      </c>
      <c r="J2717" s="149">
        <f t="shared" si="359"/>
        <v>159</v>
      </c>
      <c r="K2717" s="650">
        <f t="shared" si="358"/>
        <v>1.096551724137931</v>
      </c>
    </row>
    <row r="2718" spans="1:11" ht="24.95" customHeight="1">
      <c r="A2718" s="456" t="s">
        <v>4427</v>
      </c>
      <c r="B2718" s="452" t="s">
        <v>4428</v>
      </c>
      <c r="C2718" s="1324"/>
      <c r="D2718" s="1324"/>
      <c r="E2718" s="1322" t="e">
        <f t="shared" si="356"/>
        <v>#DIV/0!</v>
      </c>
      <c r="F2718" s="1324">
        <v>60</v>
      </c>
      <c r="G2718" s="1324">
        <v>12</v>
      </c>
      <c r="H2718" s="1322">
        <f t="shared" si="357"/>
        <v>0.2</v>
      </c>
      <c r="I2718" s="1323">
        <f t="shared" si="359"/>
        <v>60</v>
      </c>
      <c r="J2718" s="149">
        <f t="shared" si="359"/>
        <v>12</v>
      </c>
      <c r="K2718" s="650">
        <f t="shared" si="358"/>
        <v>0.2</v>
      </c>
    </row>
    <row r="2719" spans="1:11" ht="24.95" customHeight="1">
      <c r="A2719" s="456" t="s">
        <v>3752</v>
      </c>
      <c r="B2719" s="452" t="s">
        <v>2614</v>
      </c>
      <c r="C2719" s="1324">
        <v>10</v>
      </c>
      <c r="D2719" s="1324">
        <v>19</v>
      </c>
      <c r="E2719" s="1322">
        <f t="shared" si="356"/>
        <v>1.9</v>
      </c>
      <c r="F2719" s="1324">
        <v>125</v>
      </c>
      <c r="G2719" s="1324">
        <v>24</v>
      </c>
      <c r="H2719" s="1322">
        <f t="shared" si="357"/>
        <v>0.192</v>
      </c>
      <c r="I2719" s="1323">
        <f t="shared" si="359"/>
        <v>135</v>
      </c>
      <c r="J2719" s="149">
        <f t="shared" si="359"/>
        <v>43</v>
      </c>
      <c r="K2719" s="650">
        <f t="shared" si="358"/>
        <v>0.31851851851851853</v>
      </c>
    </row>
    <row r="2720" spans="1:11" ht="24.95" customHeight="1">
      <c r="A2720" s="456" t="s">
        <v>2327</v>
      </c>
      <c r="B2720" s="452" t="s">
        <v>2328</v>
      </c>
      <c r="C2720" s="1324">
        <v>50</v>
      </c>
      <c r="D2720" s="1324">
        <v>45</v>
      </c>
      <c r="E2720" s="1322">
        <f t="shared" si="356"/>
        <v>0.9</v>
      </c>
      <c r="F2720" s="1324">
        <v>100</v>
      </c>
      <c r="G2720" s="1324">
        <v>55</v>
      </c>
      <c r="H2720" s="1322">
        <f t="shared" si="357"/>
        <v>0.55000000000000004</v>
      </c>
      <c r="I2720" s="1323">
        <f t="shared" si="359"/>
        <v>150</v>
      </c>
      <c r="J2720" s="149">
        <f t="shared" si="359"/>
        <v>100</v>
      </c>
      <c r="K2720" s="650">
        <f t="shared" si="358"/>
        <v>0.66666666666666663</v>
      </c>
    </row>
    <row r="2721" spans="1:11" ht="24.95" customHeight="1">
      <c r="A2721" s="456" t="s">
        <v>2176</v>
      </c>
      <c r="B2721" s="452" t="s">
        <v>2177</v>
      </c>
      <c r="C2721" s="1324">
        <v>165</v>
      </c>
      <c r="D2721" s="1324">
        <v>106</v>
      </c>
      <c r="E2721" s="1322">
        <f t="shared" si="356"/>
        <v>0.64242424242424245</v>
      </c>
      <c r="F2721" s="1324">
        <v>50</v>
      </c>
      <c r="G2721" s="1324">
        <v>26</v>
      </c>
      <c r="H2721" s="1322">
        <f t="shared" si="357"/>
        <v>0.52</v>
      </c>
      <c r="I2721" s="1323">
        <f t="shared" si="359"/>
        <v>215</v>
      </c>
      <c r="J2721" s="149">
        <f t="shared" si="359"/>
        <v>132</v>
      </c>
      <c r="K2721" s="650">
        <f t="shared" si="358"/>
        <v>0.61395348837209307</v>
      </c>
    </row>
    <row r="2722" spans="1:11" ht="24.95" customHeight="1">
      <c r="A2722" s="456" t="s">
        <v>2620</v>
      </c>
      <c r="B2722" s="452" t="s">
        <v>2621</v>
      </c>
      <c r="C2722" s="1324">
        <v>15</v>
      </c>
      <c r="D2722" s="1324">
        <v>6</v>
      </c>
      <c r="E2722" s="1322">
        <f t="shared" si="356"/>
        <v>0.4</v>
      </c>
      <c r="F2722" s="1324">
        <v>30</v>
      </c>
      <c r="G2722" s="1324">
        <v>24</v>
      </c>
      <c r="H2722" s="1322">
        <f t="shared" si="357"/>
        <v>0.8</v>
      </c>
      <c r="I2722" s="1323">
        <f t="shared" si="359"/>
        <v>45</v>
      </c>
      <c r="J2722" s="149">
        <f t="shared" si="359"/>
        <v>30</v>
      </c>
      <c r="K2722" s="650">
        <f t="shared" si="358"/>
        <v>0.66666666666666663</v>
      </c>
    </row>
    <row r="2723" spans="1:11" ht="24.95" customHeight="1">
      <c r="A2723" s="456" t="s">
        <v>2624</v>
      </c>
      <c r="B2723" s="1236" t="s">
        <v>2330</v>
      </c>
      <c r="C2723" s="1324">
        <v>5</v>
      </c>
      <c r="D2723" s="1324">
        <v>1</v>
      </c>
      <c r="E2723" s="1322">
        <f t="shared" si="356"/>
        <v>0.2</v>
      </c>
      <c r="F2723" s="1324">
        <v>5500</v>
      </c>
      <c r="G2723" s="1324">
        <v>2899</v>
      </c>
      <c r="H2723" s="1322">
        <f t="shared" si="357"/>
        <v>0.52709090909090905</v>
      </c>
      <c r="I2723" s="1323">
        <f t="shared" si="359"/>
        <v>5505</v>
      </c>
      <c r="J2723" s="149">
        <f t="shared" si="359"/>
        <v>2900</v>
      </c>
      <c r="K2723" s="650">
        <f t="shared" si="358"/>
        <v>0.5267938237965486</v>
      </c>
    </row>
    <row r="2724" spans="1:11" ht="24.95" customHeight="1">
      <c r="A2724" s="456" t="s">
        <v>2331</v>
      </c>
      <c r="B2724" s="452" t="s">
        <v>2332</v>
      </c>
      <c r="C2724" s="1324">
        <v>70</v>
      </c>
      <c r="D2724" s="1324">
        <v>43</v>
      </c>
      <c r="E2724" s="1322">
        <f t="shared" si="356"/>
        <v>0.61428571428571432</v>
      </c>
      <c r="F2724" s="1324">
        <v>1500</v>
      </c>
      <c r="G2724" s="1324">
        <v>924</v>
      </c>
      <c r="H2724" s="1322">
        <f t="shared" si="357"/>
        <v>0.61599999999999999</v>
      </c>
      <c r="I2724" s="1323">
        <f t="shared" si="359"/>
        <v>1570</v>
      </c>
      <c r="J2724" s="149">
        <f t="shared" si="359"/>
        <v>967</v>
      </c>
      <c r="K2724" s="650">
        <f t="shared" si="358"/>
        <v>0.61592356687898087</v>
      </c>
    </row>
    <row r="2725" spans="1:11" ht="24.95" customHeight="1">
      <c r="A2725" s="456" t="s">
        <v>2627</v>
      </c>
      <c r="B2725" s="1236" t="s">
        <v>2628</v>
      </c>
      <c r="C2725" s="1324"/>
      <c r="D2725" s="1324"/>
      <c r="E2725" s="1322" t="e">
        <f t="shared" si="356"/>
        <v>#DIV/0!</v>
      </c>
      <c r="F2725" s="1324">
        <v>10</v>
      </c>
      <c r="G2725" s="1324">
        <v>32</v>
      </c>
      <c r="H2725" s="1322">
        <f t="shared" si="357"/>
        <v>3.2</v>
      </c>
      <c r="I2725" s="1323">
        <f t="shared" si="359"/>
        <v>10</v>
      </c>
      <c r="J2725" s="149">
        <f t="shared" si="359"/>
        <v>32</v>
      </c>
      <c r="K2725" s="650">
        <f t="shared" si="358"/>
        <v>3.2</v>
      </c>
    </row>
    <row r="2726" spans="1:11" ht="24.95" customHeight="1">
      <c r="A2726" s="456" t="s">
        <v>2631</v>
      </c>
      <c r="B2726" s="1236" t="s">
        <v>2632</v>
      </c>
      <c r="C2726" s="1324">
        <v>1</v>
      </c>
      <c r="D2726" s="1324"/>
      <c r="E2726" s="1322">
        <f t="shared" si="356"/>
        <v>0</v>
      </c>
      <c r="F2726" s="1324">
        <v>2400</v>
      </c>
      <c r="G2726" s="1324">
        <v>837</v>
      </c>
      <c r="H2726" s="1322">
        <f t="shared" si="357"/>
        <v>0.34875</v>
      </c>
      <c r="I2726" s="1323">
        <f t="shared" si="359"/>
        <v>2401</v>
      </c>
      <c r="J2726" s="149">
        <f t="shared" si="359"/>
        <v>837</v>
      </c>
      <c r="K2726" s="650">
        <f t="shared" si="358"/>
        <v>0.34860474802165764</v>
      </c>
    </row>
    <row r="2727" spans="1:11" ht="24.95" customHeight="1">
      <c r="A2727" s="456" t="s">
        <v>2178</v>
      </c>
      <c r="B2727" s="452" t="s">
        <v>2179</v>
      </c>
      <c r="C2727" s="1324">
        <v>10</v>
      </c>
      <c r="D2727" s="1324">
        <v>4</v>
      </c>
      <c r="E2727" s="1322">
        <f t="shared" si="356"/>
        <v>0.4</v>
      </c>
      <c r="F2727" s="1324">
        <v>125</v>
      </c>
      <c r="G2727" s="1324">
        <v>50</v>
      </c>
      <c r="H2727" s="1322">
        <f t="shared" si="357"/>
        <v>0.4</v>
      </c>
      <c r="I2727" s="1323">
        <f t="shared" si="359"/>
        <v>135</v>
      </c>
      <c r="J2727" s="149">
        <f t="shared" si="359"/>
        <v>54</v>
      </c>
      <c r="K2727" s="650">
        <f t="shared" si="358"/>
        <v>0.4</v>
      </c>
    </row>
    <row r="2728" spans="1:11" ht="24.95" customHeight="1">
      <c r="A2728" s="1325" t="s">
        <v>2637</v>
      </c>
      <c r="B2728" s="1236" t="s">
        <v>2638</v>
      </c>
      <c r="C2728" s="1324"/>
      <c r="D2728" s="1324"/>
      <c r="E2728" s="1322" t="e">
        <f t="shared" si="356"/>
        <v>#DIV/0!</v>
      </c>
      <c r="F2728" s="1324">
        <v>35</v>
      </c>
      <c r="G2728" s="1324">
        <v>82</v>
      </c>
      <c r="H2728" s="1322">
        <f t="shared" si="357"/>
        <v>2.342857142857143</v>
      </c>
      <c r="I2728" s="1323">
        <f t="shared" si="359"/>
        <v>35</v>
      </c>
      <c r="J2728" s="149">
        <f t="shared" si="359"/>
        <v>82</v>
      </c>
      <c r="K2728" s="650">
        <f t="shared" si="358"/>
        <v>2.342857142857143</v>
      </c>
    </row>
    <row r="2729" spans="1:11" ht="24.95" customHeight="1">
      <c r="A2729" s="456" t="s">
        <v>2639</v>
      </c>
      <c r="B2729" s="1236" t="s">
        <v>3048</v>
      </c>
      <c r="C2729" s="1324"/>
      <c r="D2729" s="1324"/>
      <c r="E2729" s="1322" t="e">
        <f t="shared" si="356"/>
        <v>#DIV/0!</v>
      </c>
      <c r="F2729" s="1324">
        <v>15</v>
      </c>
      <c r="G2729" s="1324">
        <v>1</v>
      </c>
      <c r="H2729" s="1322">
        <f t="shared" si="357"/>
        <v>6.6666666666666666E-2</v>
      </c>
      <c r="I2729" s="1323">
        <f t="shared" si="359"/>
        <v>15</v>
      </c>
      <c r="J2729" s="149">
        <f t="shared" si="359"/>
        <v>1</v>
      </c>
      <c r="K2729" s="650">
        <f t="shared" si="358"/>
        <v>6.6666666666666666E-2</v>
      </c>
    </row>
    <row r="2730" spans="1:11" ht="24.95" customHeight="1">
      <c r="A2730" s="1235" t="s">
        <v>2643</v>
      </c>
      <c r="B2730" s="1236" t="s">
        <v>2973</v>
      </c>
      <c r="C2730" s="1324"/>
      <c r="D2730" s="1324"/>
      <c r="E2730" s="1322" t="e">
        <f t="shared" si="356"/>
        <v>#DIV/0!</v>
      </c>
      <c r="F2730" s="1324">
        <v>40</v>
      </c>
      <c r="G2730" s="1324">
        <v>36</v>
      </c>
      <c r="H2730" s="1322">
        <f t="shared" si="357"/>
        <v>0.9</v>
      </c>
      <c r="I2730" s="1323">
        <f t="shared" si="359"/>
        <v>40</v>
      </c>
      <c r="J2730" s="149">
        <f t="shared" si="359"/>
        <v>36</v>
      </c>
      <c r="K2730" s="650">
        <f t="shared" si="358"/>
        <v>0.9</v>
      </c>
    </row>
    <row r="2731" spans="1:11" ht="24.95" customHeight="1">
      <c r="A2731" s="1325" t="s">
        <v>2974</v>
      </c>
      <c r="B2731" s="1236" t="s">
        <v>2975</v>
      </c>
      <c r="C2731" s="1324"/>
      <c r="D2731" s="1324"/>
      <c r="E2731" s="1322" t="e">
        <f t="shared" si="356"/>
        <v>#DIV/0!</v>
      </c>
      <c r="F2731" s="1324">
        <v>5</v>
      </c>
      <c r="G2731" s="1324"/>
      <c r="H2731" s="1322">
        <f t="shared" si="357"/>
        <v>0</v>
      </c>
      <c r="I2731" s="1323">
        <f t="shared" si="359"/>
        <v>5</v>
      </c>
      <c r="J2731" s="149">
        <f t="shared" si="359"/>
        <v>0</v>
      </c>
      <c r="K2731" s="650">
        <f t="shared" si="358"/>
        <v>0</v>
      </c>
    </row>
    <row r="2732" spans="1:11" ht="24.95" customHeight="1">
      <c r="A2732" s="456" t="s">
        <v>2645</v>
      </c>
      <c r="B2732" s="452" t="s">
        <v>2646</v>
      </c>
      <c r="C2732" s="1324">
        <v>75</v>
      </c>
      <c r="D2732" s="1324">
        <v>33</v>
      </c>
      <c r="E2732" s="1322">
        <f t="shared" si="356"/>
        <v>0.44</v>
      </c>
      <c r="F2732" s="1324">
        <v>4050</v>
      </c>
      <c r="G2732" s="1324">
        <v>1824</v>
      </c>
      <c r="H2732" s="1322">
        <f t="shared" si="357"/>
        <v>0.45037037037037037</v>
      </c>
      <c r="I2732" s="1323">
        <f t="shared" si="359"/>
        <v>4125</v>
      </c>
      <c r="J2732" s="149">
        <f t="shared" si="359"/>
        <v>1857</v>
      </c>
      <c r="K2732" s="650">
        <f t="shared" si="358"/>
        <v>0.45018181818181818</v>
      </c>
    </row>
    <row r="2733" spans="1:11" ht="24.95" customHeight="1">
      <c r="A2733" s="456" t="s">
        <v>2647</v>
      </c>
      <c r="B2733" s="1236" t="s">
        <v>2648</v>
      </c>
      <c r="C2733" s="1324"/>
      <c r="D2733" s="1324"/>
      <c r="E2733" s="1322" t="e">
        <f t="shared" si="356"/>
        <v>#DIV/0!</v>
      </c>
      <c r="F2733" s="1324">
        <v>55</v>
      </c>
      <c r="G2733" s="1324">
        <v>1</v>
      </c>
      <c r="H2733" s="1322">
        <f t="shared" si="357"/>
        <v>1.8181818181818181E-2</v>
      </c>
      <c r="I2733" s="1323">
        <f t="shared" si="359"/>
        <v>55</v>
      </c>
      <c r="J2733" s="149">
        <f t="shared" si="359"/>
        <v>1</v>
      </c>
      <c r="K2733" s="650">
        <f t="shared" si="358"/>
        <v>1.8181818181818181E-2</v>
      </c>
    </row>
    <row r="2734" spans="1:11" ht="24.95" customHeight="1">
      <c r="A2734" s="456" t="s">
        <v>2649</v>
      </c>
      <c r="B2734" s="1236" t="s">
        <v>2650</v>
      </c>
      <c r="C2734" s="1324"/>
      <c r="D2734" s="1324"/>
      <c r="E2734" s="1322" t="e">
        <f t="shared" si="356"/>
        <v>#DIV/0!</v>
      </c>
      <c r="F2734" s="1324">
        <v>60</v>
      </c>
      <c r="G2734" s="1324">
        <v>19</v>
      </c>
      <c r="H2734" s="1322">
        <f t="shared" si="357"/>
        <v>0.31666666666666665</v>
      </c>
      <c r="I2734" s="1323">
        <f t="shared" si="359"/>
        <v>60</v>
      </c>
      <c r="J2734" s="149">
        <f t="shared" si="359"/>
        <v>19</v>
      </c>
      <c r="K2734" s="650">
        <f t="shared" si="358"/>
        <v>0.31666666666666665</v>
      </c>
    </row>
    <row r="2735" spans="1:11" ht="24.95" customHeight="1">
      <c r="A2735" s="1235" t="s">
        <v>2969</v>
      </c>
      <c r="B2735" s="1236" t="s">
        <v>2970</v>
      </c>
      <c r="C2735" s="1324"/>
      <c r="D2735" s="1324"/>
      <c r="E2735" s="1322" t="e">
        <f t="shared" si="356"/>
        <v>#DIV/0!</v>
      </c>
      <c r="F2735" s="1324">
        <v>200</v>
      </c>
      <c r="G2735" s="1324">
        <f>141+2</f>
        <v>143</v>
      </c>
      <c r="H2735" s="1322">
        <f t="shared" si="357"/>
        <v>0.71499999999999997</v>
      </c>
      <c r="I2735" s="1323">
        <f t="shared" ref="I2735:J2740" si="360">+C2735+F2735</f>
        <v>200</v>
      </c>
      <c r="J2735" s="149">
        <f t="shared" si="360"/>
        <v>143</v>
      </c>
      <c r="K2735" s="650">
        <f t="shared" si="358"/>
        <v>0.71499999999999997</v>
      </c>
    </row>
    <row r="2736" spans="1:11" ht="24.95" customHeight="1">
      <c r="A2736" s="1235" t="s">
        <v>5297</v>
      </c>
      <c r="B2736" s="1236" t="s">
        <v>5298</v>
      </c>
      <c r="C2736" s="1324">
        <v>5</v>
      </c>
      <c r="D2736" s="1324"/>
      <c r="E2736" s="1322">
        <f t="shared" si="356"/>
        <v>0</v>
      </c>
      <c r="F2736" s="1324">
        <v>1</v>
      </c>
      <c r="G2736" s="1324"/>
      <c r="H2736" s="1322">
        <f t="shared" si="357"/>
        <v>0</v>
      </c>
      <c r="I2736" s="1323">
        <f t="shared" si="360"/>
        <v>6</v>
      </c>
      <c r="J2736" s="149">
        <f t="shared" si="360"/>
        <v>0</v>
      </c>
      <c r="K2736" s="650">
        <f t="shared" si="358"/>
        <v>0</v>
      </c>
    </row>
    <row r="2737" spans="1:11" ht="24.95" customHeight="1">
      <c r="A2737" s="1235" t="s">
        <v>5299</v>
      </c>
      <c r="B2737" s="1236" t="s">
        <v>5300</v>
      </c>
      <c r="C2737" s="1324">
        <v>15</v>
      </c>
      <c r="D2737" s="1324">
        <v>4</v>
      </c>
      <c r="E2737" s="1322">
        <f t="shared" si="356"/>
        <v>0.26666666666666666</v>
      </c>
      <c r="F2737" s="1324">
        <v>20</v>
      </c>
      <c r="G2737" s="1324">
        <v>17</v>
      </c>
      <c r="H2737" s="1322">
        <f t="shared" si="357"/>
        <v>0.85</v>
      </c>
      <c r="I2737" s="1323">
        <f t="shared" si="360"/>
        <v>35</v>
      </c>
      <c r="J2737" s="149">
        <f t="shared" si="360"/>
        <v>21</v>
      </c>
      <c r="K2737" s="650">
        <f t="shared" si="358"/>
        <v>0.6</v>
      </c>
    </row>
    <row r="2738" spans="1:11" ht="24.95" customHeight="1">
      <c r="A2738" s="1235" t="s">
        <v>2667</v>
      </c>
      <c r="B2738" s="1236" t="s">
        <v>3004</v>
      </c>
      <c r="C2738" s="1324">
        <v>5</v>
      </c>
      <c r="D2738" s="1324">
        <v>3</v>
      </c>
      <c r="E2738" s="1322">
        <f t="shared" ref="E2738:E2740" si="361">+D2738/C2738</f>
        <v>0.6</v>
      </c>
      <c r="F2738" s="1324">
        <v>1300</v>
      </c>
      <c r="G2738" s="1324">
        <v>553</v>
      </c>
      <c r="H2738" s="1322">
        <f t="shared" ref="H2738:H2740" si="362">+G2738/F2738</f>
        <v>0.42538461538461536</v>
      </c>
      <c r="I2738" s="1323">
        <f t="shared" si="360"/>
        <v>1305</v>
      </c>
      <c r="J2738" s="149">
        <f t="shared" si="360"/>
        <v>556</v>
      </c>
      <c r="K2738" s="650">
        <f t="shared" ref="K2738:K2740" si="363">+J2738/I2738</f>
        <v>0.42605363984674327</v>
      </c>
    </row>
    <row r="2739" spans="1:11" ht="24.95" customHeight="1">
      <c r="A2739" s="456" t="s">
        <v>2657</v>
      </c>
      <c r="B2739" s="452" t="s">
        <v>2658</v>
      </c>
      <c r="C2739" s="1324">
        <v>75</v>
      </c>
      <c r="D2739" s="1324">
        <v>29</v>
      </c>
      <c r="E2739" s="1322">
        <f t="shared" si="361"/>
        <v>0.38666666666666666</v>
      </c>
      <c r="F2739" s="1324">
        <v>4550</v>
      </c>
      <c r="G2739" s="1324">
        <v>2978</v>
      </c>
      <c r="H2739" s="1322">
        <f t="shared" si="362"/>
        <v>0.65450549450549456</v>
      </c>
      <c r="I2739" s="1323">
        <f t="shared" si="360"/>
        <v>4625</v>
      </c>
      <c r="J2739" s="149">
        <f t="shared" si="360"/>
        <v>3007</v>
      </c>
      <c r="K2739" s="650">
        <f t="shared" si="363"/>
        <v>0.65016216216216216</v>
      </c>
    </row>
    <row r="2740" spans="1:11" s="538" customFormat="1" ht="24.95" customHeight="1">
      <c r="A2740" s="800"/>
      <c r="B2740" s="452" t="s">
        <v>2</v>
      </c>
      <c r="C2740" s="1324">
        <f t="shared" ref="C2740:I2740" si="364">SUM(C2609:C2739)</f>
        <v>14755</v>
      </c>
      <c r="D2740" s="1324">
        <f t="shared" si="364"/>
        <v>9051</v>
      </c>
      <c r="E2740" s="1322">
        <f t="shared" si="361"/>
        <v>0.61341917993900374</v>
      </c>
      <c r="F2740" s="1324">
        <f t="shared" si="364"/>
        <v>51933</v>
      </c>
      <c r="G2740" s="1324">
        <f t="shared" si="364"/>
        <v>24621</v>
      </c>
      <c r="H2740" s="1322">
        <f t="shared" si="362"/>
        <v>0.47409161804632893</v>
      </c>
      <c r="I2740" s="1324">
        <f t="shared" si="364"/>
        <v>66682</v>
      </c>
      <c r="J2740" s="149">
        <f t="shared" si="360"/>
        <v>33672</v>
      </c>
      <c r="K2740" s="650">
        <f t="shared" si="363"/>
        <v>0.50496385831258805</v>
      </c>
    </row>
    <row r="2741" spans="1:11" ht="24.95" customHeight="1">
      <c r="A2741" s="2032" t="s">
        <v>3102</v>
      </c>
      <c r="B2741" s="2032"/>
      <c r="C2741" s="2032"/>
      <c r="D2741" s="2032"/>
      <c r="E2741" s="2032"/>
      <c r="F2741" s="2032"/>
      <c r="G2741" s="2032"/>
      <c r="H2741" s="2032"/>
      <c r="I2741" s="2032"/>
      <c r="J2741" s="149"/>
      <c r="K2741" s="650"/>
    </row>
    <row r="2742" spans="1:11" ht="24.95" customHeight="1">
      <c r="A2742" s="456" t="s">
        <v>2789</v>
      </c>
      <c r="B2742" s="452" t="s">
        <v>2386</v>
      </c>
      <c r="C2742" s="1324"/>
      <c r="D2742" s="1324"/>
      <c r="E2742" s="1329"/>
      <c r="F2742" s="1324">
        <v>2</v>
      </c>
      <c r="G2742" s="1324">
        <v>1</v>
      </c>
      <c r="H2742" s="1329">
        <f>+G2742/F2742</f>
        <v>0.5</v>
      </c>
      <c r="I2742" s="1328">
        <f t="shared" ref="I2742:I2782" si="365">+C2742+F2742</f>
        <v>2</v>
      </c>
      <c r="J2742" s="695">
        <f>+G2742</f>
        <v>1</v>
      </c>
      <c r="K2742" s="650">
        <f>+J2742/I2742</f>
        <v>0.5</v>
      </c>
    </row>
    <row r="2743" spans="1:11" ht="24.95" customHeight="1">
      <c r="A2743" s="1325" t="s">
        <v>5205</v>
      </c>
      <c r="B2743" s="1251" t="s">
        <v>3823</v>
      </c>
      <c r="C2743" s="1324"/>
      <c r="D2743" s="1324"/>
      <c r="E2743" s="1329"/>
      <c r="F2743" s="1324">
        <v>2</v>
      </c>
      <c r="G2743" s="1324"/>
      <c r="H2743" s="1329">
        <f t="shared" ref="H2743:H2785" si="366">+G2743/F2743</f>
        <v>0</v>
      </c>
      <c r="I2743" s="1323">
        <f t="shared" si="365"/>
        <v>2</v>
      </c>
      <c r="J2743" s="695">
        <f t="shared" ref="J2743:J2782" si="367">+G2743</f>
        <v>0</v>
      </c>
      <c r="K2743" s="650">
        <f t="shared" ref="K2743:K2785" si="368">+J2743/I2743</f>
        <v>0</v>
      </c>
    </row>
    <row r="2744" spans="1:11" ht="24.95" customHeight="1">
      <c r="A2744" s="456" t="s">
        <v>5212</v>
      </c>
      <c r="B2744" s="452" t="s">
        <v>5213</v>
      </c>
      <c r="C2744" s="1324"/>
      <c r="D2744" s="1324"/>
      <c r="E2744" s="1329"/>
      <c r="F2744" s="1324">
        <v>2</v>
      </c>
      <c r="G2744" s="1324"/>
      <c r="H2744" s="1329">
        <f t="shared" si="366"/>
        <v>0</v>
      </c>
      <c r="I2744" s="1323">
        <f t="shared" si="365"/>
        <v>2</v>
      </c>
      <c r="J2744" s="695">
        <f t="shared" si="367"/>
        <v>0</v>
      </c>
      <c r="K2744" s="650">
        <f t="shared" si="368"/>
        <v>0</v>
      </c>
    </row>
    <row r="2745" spans="1:11" ht="24.95" customHeight="1">
      <c r="A2745" s="456" t="s">
        <v>3115</v>
      </c>
      <c r="B2745" s="452" t="s">
        <v>3053</v>
      </c>
      <c r="C2745" s="1324"/>
      <c r="D2745" s="1324"/>
      <c r="E2745" s="1329"/>
      <c r="F2745" s="1324">
        <v>2</v>
      </c>
      <c r="G2745" s="1324">
        <v>1</v>
      </c>
      <c r="H2745" s="1329">
        <f t="shared" si="366"/>
        <v>0.5</v>
      </c>
      <c r="I2745" s="1323">
        <f t="shared" si="365"/>
        <v>2</v>
      </c>
      <c r="J2745" s="695">
        <f t="shared" si="367"/>
        <v>1</v>
      </c>
      <c r="K2745" s="650">
        <f t="shared" si="368"/>
        <v>0.5</v>
      </c>
    </row>
    <row r="2746" spans="1:11" ht="24.95" customHeight="1">
      <c r="A2746" s="456" t="s">
        <v>5214</v>
      </c>
      <c r="B2746" s="452" t="s">
        <v>5215</v>
      </c>
      <c r="C2746" s="1324"/>
      <c r="D2746" s="1324"/>
      <c r="E2746" s="1329"/>
      <c r="F2746" s="1324">
        <v>2</v>
      </c>
      <c r="G2746" s="1324">
        <v>1</v>
      </c>
      <c r="H2746" s="1329">
        <f t="shared" si="366"/>
        <v>0.5</v>
      </c>
      <c r="I2746" s="1323">
        <f t="shared" si="365"/>
        <v>2</v>
      </c>
      <c r="J2746" s="695">
        <f t="shared" si="367"/>
        <v>1</v>
      </c>
      <c r="K2746" s="650">
        <f t="shared" si="368"/>
        <v>0.5</v>
      </c>
    </row>
    <row r="2747" spans="1:11" ht="24.95" customHeight="1">
      <c r="A2747" s="1326" t="s">
        <v>2389</v>
      </c>
      <c r="B2747" s="1327" t="s">
        <v>2390</v>
      </c>
      <c r="C2747" s="1324"/>
      <c r="D2747" s="1324"/>
      <c r="E2747" s="1329"/>
      <c r="F2747" s="1324">
        <v>3</v>
      </c>
      <c r="G2747" s="1324">
        <v>1</v>
      </c>
      <c r="H2747" s="1329">
        <f t="shared" si="366"/>
        <v>0.33333333333333331</v>
      </c>
      <c r="I2747" s="1328">
        <f t="shared" si="365"/>
        <v>3</v>
      </c>
      <c r="J2747" s="695">
        <f t="shared" si="367"/>
        <v>1</v>
      </c>
      <c r="K2747" s="650">
        <f t="shared" si="368"/>
        <v>0.33333333333333331</v>
      </c>
    </row>
    <row r="2748" spans="1:11" ht="24.95" customHeight="1">
      <c r="A2748" s="456" t="s">
        <v>2401</v>
      </c>
      <c r="B2748" s="1246" t="s">
        <v>2402</v>
      </c>
      <c r="C2748" s="1324"/>
      <c r="D2748" s="1324"/>
      <c r="E2748" s="1329"/>
      <c r="F2748" s="1324">
        <v>15</v>
      </c>
      <c r="G2748" s="1324">
        <v>16</v>
      </c>
      <c r="H2748" s="1329">
        <f t="shared" si="366"/>
        <v>1.0666666666666667</v>
      </c>
      <c r="I2748" s="1328">
        <f t="shared" si="365"/>
        <v>15</v>
      </c>
      <c r="J2748" s="695">
        <f t="shared" si="367"/>
        <v>16</v>
      </c>
      <c r="K2748" s="650">
        <f t="shared" si="368"/>
        <v>1.0666666666666667</v>
      </c>
    </row>
    <row r="2749" spans="1:11" ht="24.95" customHeight="1">
      <c r="A2749" s="456">
        <v>241021</v>
      </c>
      <c r="B2749" s="452" t="s">
        <v>5226</v>
      </c>
      <c r="C2749" s="1324"/>
      <c r="D2749" s="1324"/>
      <c r="E2749" s="1329"/>
      <c r="F2749" s="1324">
        <v>2</v>
      </c>
      <c r="G2749" s="1324"/>
      <c r="H2749" s="1329">
        <f t="shared" si="366"/>
        <v>0</v>
      </c>
      <c r="I2749" s="1323">
        <f t="shared" si="365"/>
        <v>2</v>
      </c>
      <c r="J2749" s="695">
        <f t="shared" si="367"/>
        <v>0</v>
      </c>
      <c r="K2749" s="650">
        <f t="shared" si="368"/>
        <v>0</v>
      </c>
    </row>
    <row r="2750" spans="1:11" ht="24.95" customHeight="1">
      <c r="A2750" s="456">
        <v>241027</v>
      </c>
      <c r="B2750" s="452" t="s">
        <v>3550</v>
      </c>
      <c r="C2750" s="1324"/>
      <c r="D2750" s="1324"/>
      <c r="E2750" s="1329"/>
      <c r="F2750" s="1324">
        <v>10</v>
      </c>
      <c r="G2750" s="1324">
        <v>4</v>
      </c>
      <c r="H2750" s="1329">
        <f t="shared" si="366"/>
        <v>0.4</v>
      </c>
      <c r="I2750" s="1323">
        <f t="shared" si="365"/>
        <v>10</v>
      </c>
      <c r="J2750" s="695">
        <f t="shared" si="367"/>
        <v>4</v>
      </c>
      <c r="K2750" s="650">
        <f t="shared" si="368"/>
        <v>0.4</v>
      </c>
    </row>
    <row r="2751" spans="1:11" ht="24.95" customHeight="1">
      <c r="A2751" s="456">
        <v>250103</v>
      </c>
      <c r="B2751" s="1246" t="s">
        <v>5230</v>
      </c>
      <c r="C2751" s="1324"/>
      <c r="D2751" s="1324"/>
      <c r="E2751" s="1329"/>
      <c r="F2751" s="1330">
        <v>30</v>
      </c>
      <c r="G2751" s="1330">
        <v>15</v>
      </c>
      <c r="H2751" s="1329">
        <f t="shared" si="366"/>
        <v>0.5</v>
      </c>
      <c r="I2751" s="1328">
        <f t="shared" si="365"/>
        <v>30</v>
      </c>
      <c r="J2751" s="695">
        <f t="shared" si="367"/>
        <v>15</v>
      </c>
      <c r="K2751" s="650">
        <f t="shared" si="368"/>
        <v>0.5</v>
      </c>
    </row>
    <row r="2752" spans="1:11" ht="24.95" customHeight="1">
      <c r="A2752" s="1326" t="s">
        <v>5239</v>
      </c>
      <c r="B2752" s="1327" t="s">
        <v>5240</v>
      </c>
      <c r="C2752" s="1324"/>
      <c r="D2752" s="1324"/>
      <c r="E2752" s="1329"/>
      <c r="F2752" s="1324">
        <v>30</v>
      </c>
      <c r="G2752" s="1324">
        <v>21</v>
      </c>
      <c r="H2752" s="1329">
        <f t="shared" si="366"/>
        <v>0.7</v>
      </c>
      <c r="I2752" s="1328">
        <f t="shared" si="365"/>
        <v>30</v>
      </c>
      <c r="J2752" s="695">
        <f t="shared" si="367"/>
        <v>21</v>
      </c>
      <c r="K2752" s="650">
        <f t="shared" si="368"/>
        <v>0.7</v>
      </c>
    </row>
    <row r="2753" spans="1:11" ht="24.95" customHeight="1">
      <c r="A2753" s="1326" t="s">
        <v>5243</v>
      </c>
      <c r="B2753" s="1327" t="s">
        <v>5301</v>
      </c>
      <c r="C2753" s="1324"/>
      <c r="D2753" s="1324"/>
      <c r="E2753" s="1329"/>
      <c r="F2753" s="1324">
        <v>5</v>
      </c>
      <c r="G2753" s="1324"/>
      <c r="H2753" s="1329">
        <f t="shared" si="366"/>
        <v>0</v>
      </c>
      <c r="I2753" s="1328">
        <f t="shared" si="365"/>
        <v>5</v>
      </c>
      <c r="J2753" s="695">
        <f t="shared" si="367"/>
        <v>0</v>
      </c>
      <c r="K2753" s="650">
        <f t="shared" si="368"/>
        <v>0</v>
      </c>
    </row>
    <row r="2754" spans="1:11" ht="24.95" customHeight="1">
      <c r="A2754" s="1325" t="s">
        <v>2429</v>
      </c>
      <c r="B2754" s="1236" t="s">
        <v>2430</v>
      </c>
      <c r="C2754" s="1324"/>
      <c r="D2754" s="1324"/>
      <c r="E2754" s="1329"/>
      <c r="F2754" s="1324">
        <v>5</v>
      </c>
      <c r="G2754" s="1324">
        <v>1</v>
      </c>
      <c r="H2754" s="1329">
        <f t="shared" si="366"/>
        <v>0.2</v>
      </c>
      <c r="I2754" s="1323">
        <f t="shared" si="365"/>
        <v>5</v>
      </c>
      <c r="J2754" s="695">
        <f t="shared" si="367"/>
        <v>1</v>
      </c>
      <c r="K2754" s="650">
        <f t="shared" si="368"/>
        <v>0.2</v>
      </c>
    </row>
    <row r="2755" spans="1:11" ht="24.95" customHeight="1">
      <c r="A2755" s="456" t="s">
        <v>2435</v>
      </c>
      <c r="B2755" s="792" t="s">
        <v>2436</v>
      </c>
      <c r="C2755" s="1324"/>
      <c r="D2755" s="1324"/>
      <c r="E2755" s="1329"/>
      <c r="F2755" s="1324">
        <v>2</v>
      </c>
      <c r="G2755" s="1324"/>
      <c r="H2755" s="1329">
        <f t="shared" si="366"/>
        <v>0</v>
      </c>
      <c r="I2755" s="1323">
        <f t="shared" si="365"/>
        <v>2</v>
      </c>
      <c r="J2755" s="695">
        <f t="shared" si="367"/>
        <v>0</v>
      </c>
      <c r="K2755" s="650">
        <f t="shared" si="368"/>
        <v>0</v>
      </c>
    </row>
    <row r="2756" spans="1:11" ht="24.95" customHeight="1">
      <c r="A2756" s="456" t="s">
        <v>2439</v>
      </c>
      <c r="B2756" s="792" t="s">
        <v>2440</v>
      </c>
      <c r="C2756" s="1324"/>
      <c r="D2756" s="1324"/>
      <c r="E2756" s="1329"/>
      <c r="F2756" s="1324">
        <v>5</v>
      </c>
      <c r="G2756" s="1324"/>
      <c r="H2756" s="1329">
        <f t="shared" si="366"/>
        <v>0</v>
      </c>
      <c r="I2756" s="1328">
        <f t="shared" si="365"/>
        <v>5</v>
      </c>
      <c r="J2756" s="695">
        <f t="shared" si="367"/>
        <v>0</v>
      </c>
      <c r="K2756" s="650">
        <f t="shared" si="368"/>
        <v>0</v>
      </c>
    </row>
    <row r="2757" spans="1:11" ht="24.95" customHeight="1">
      <c r="A2757" s="456" t="s">
        <v>5254</v>
      </c>
      <c r="B2757" s="452" t="s">
        <v>5255</v>
      </c>
      <c r="C2757" s="1324"/>
      <c r="D2757" s="1324"/>
      <c r="E2757" s="1329"/>
      <c r="F2757" s="1324">
        <v>5</v>
      </c>
      <c r="G2757" s="1324">
        <v>6</v>
      </c>
      <c r="H2757" s="1329">
        <f t="shared" si="366"/>
        <v>1.2</v>
      </c>
      <c r="I2757" s="1328">
        <f t="shared" si="365"/>
        <v>5</v>
      </c>
      <c r="J2757" s="695">
        <f t="shared" si="367"/>
        <v>6</v>
      </c>
      <c r="K2757" s="650">
        <f t="shared" si="368"/>
        <v>1.2</v>
      </c>
    </row>
    <row r="2758" spans="1:11" ht="24.95" customHeight="1">
      <c r="A2758" s="1221" t="s">
        <v>2894</v>
      </c>
      <c r="B2758" s="1249" t="s">
        <v>5260</v>
      </c>
      <c r="C2758" s="1324"/>
      <c r="D2758" s="1324"/>
      <c r="E2758" s="1329"/>
      <c r="F2758" s="1324">
        <v>2</v>
      </c>
      <c r="G2758" s="1324"/>
      <c r="H2758" s="1329">
        <f t="shared" si="366"/>
        <v>0</v>
      </c>
      <c r="I2758" s="1323">
        <f t="shared" si="365"/>
        <v>2</v>
      </c>
      <c r="J2758" s="695">
        <f t="shared" si="367"/>
        <v>0</v>
      </c>
      <c r="K2758" s="650">
        <f t="shared" si="368"/>
        <v>0</v>
      </c>
    </row>
    <row r="2759" spans="1:11" ht="24.95" customHeight="1">
      <c r="A2759" s="1221" t="s">
        <v>3192</v>
      </c>
      <c r="B2759" s="1246" t="s">
        <v>3193</v>
      </c>
      <c r="C2759" s="1324"/>
      <c r="D2759" s="1324"/>
      <c r="E2759" s="1329"/>
      <c r="F2759" s="1324">
        <v>35</v>
      </c>
      <c r="G2759" s="1324">
        <v>22</v>
      </c>
      <c r="H2759" s="1329">
        <f t="shared" si="366"/>
        <v>0.62857142857142856</v>
      </c>
      <c r="I2759" s="1328">
        <f t="shared" si="365"/>
        <v>35</v>
      </c>
      <c r="J2759" s="695">
        <f t="shared" si="367"/>
        <v>22</v>
      </c>
      <c r="K2759" s="650">
        <f t="shared" si="368"/>
        <v>0.62857142857142856</v>
      </c>
    </row>
    <row r="2760" spans="1:11" ht="24.95" customHeight="1">
      <c r="A2760" s="456" t="s">
        <v>2453</v>
      </c>
      <c r="B2760" s="452" t="s">
        <v>3706</v>
      </c>
      <c r="C2760" s="1324"/>
      <c r="D2760" s="1324"/>
      <c r="E2760" s="1329"/>
      <c r="F2760" s="1324">
        <v>5</v>
      </c>
      <c r="G2760" s="1324"/>
      <c r="H2760" s="1329">
        <f t="shared" si="366"/>
        <v>0</v>
      </c>
      <c r="I2760" s="1328">
        <f t="shared" si="365"/>
        <v>5</v>
      </c>
      <c r="J2760" s="695">
        <f t="shared" si="367"/>
        <v>0</v>
      </c>
      <c r="K2760" s="650">
        <f t="shared" si="368"/>
        <v>0</v>
      </c>
    </row>
    <row r="2761" spans="1:11" ht="24.95" customHeight="1">
      <c r="A2761" s="456" t="s">
        <v>5275</v>
      </c>
      <c r="B2761" s="452" t="s">
        <v>5276</v>
      </c>
      <c r="C2761" s="1324"/>
      <c r="D2761" s="1324"/>
      <c r="E2761" s="1329"/>
      <c r="F2761" s="1324">
        <v>3</v>
      </c>
      <c r="G2761" s="1324">
        <v>1</v>
      </c>
      <c r="H2761" s="1329">
        <f t="shared" si="366"/>
        <v>0.33333333333333331</v>
      </c>
      <c r="I2761" s="1328">
        <f t="shared" si="365"/>
        <v>3</v>
      </c>
      <c r="J2761" s="695">
        <f t="shared" si="367"/>
        <v>1</v>
      </c>
      <c r="K2761" s="650">
        <f t="shared" si="368"/>
        <v>0.33333333333333331</v>
      </c>
    </row>
    <row r="2762" spans="1:11" ht="24.95" customHeight="1">
      <c r="A2762" s="456" t="s">
        <v>3195</v>
      </c>
      <c r="B2762" s="452" t="s">
        <v>3196</v>
      </c>
      <c r="C2762" s="1324"/>
      <c r="D2762" s="1324"/>
      <c r="E2762" s="1329"/>
      <c r="F2762" s="1324">
        <v>3</v>
      </c>
      <c r="G2762" s="1324"/>
      <c r="H2762" s="1329">
        <f t="shared" si="366"/>
        <v>0</v>
      </c>
      <c r="I2762" s="1328">
        <f t="shared" si="365"/>
        <v>3</v>
      </c>
      <c r="J2762" s="695">
        <f t="shared" si="367"/>
        <v>0</v>
      </c>
      <c r="K2762" s="650">
        <f t="shared" si="368"/>
        <v>0</v>
      </c>
    </row>
    <row r="2763" spans="1:11" ht="24.95" customHeight="1">
      <c r="A2763" s="456" t="s">
        <v>5279</v>
      </c>
      <c r="B2763" s="452" t="s">
        <v>5280</v>
      </c>
      <c r="C2763" s="1324"/>
      <c r="D2763" s="1324"/>
      <c r="E2763" s="1329"/>
      <c r="F2763" s="1324">
        <v>3</v>
      </c>
      <c r="G2763" s="1324"/>
      <c r="H2763" s="1329">
        <f t="shared" si="366"/>
        <v>0</v>
      </c>
      <c r="I2763" s="1328">
        <f t="shared" si="365"/>
        <v>3</v>
      </c>
      <c r="J2763" s="695">
        <f t="shared" si="367"/>
        <v>0</v>
      </c>
      <c r="K2763" s="650">
        <f t="shared" si="368"/>
        <v>0</v>
      </c>
    </row>
    <row r="2764" spans="1:11" ht="24.95" customHeight="1">
      <c r="A2764" s="456" t="s">
        <v>3807</v>
      </c>
      <c r="B2764" s="1246" t="s">
        <v>2947</v>
      </c>
      <c r="C2764" s="1324"/>
      <c r="D2764" s="1324"/>
      <c r="E2764" s="1329"/>
      <c r="F2764" s="1324">
        <v>15</v>
      </c>
      <c r="G2764" s="1324">
        <v>12</v>
      </c>
      <c r="H2764" s="1329">
        <f t="shared" si="366"/>
        <v>0.8</v>
      </c>
      <c r="I2764" s="1328">
        <f t="shared" si="365"/>
        <v>15</v>
      </c>
      <c r="J2764" s="695">
        <f t="shared" si="367"/>
        <v>12</v>
      </c>
      <c r="K2764" s="650">
        <f t="shared" si="368"/>
        <v>0.8</v>
      </c>
    </row>
    <row r="2765" spans="1:11" ht="24.95" customHeight="1">
      <c r="A2765" s="456" t="s">
        <v>3810</v>
      </c>
      <c r="B2765" s="1246" t="s">
        <v>3811</v>
      </c>
      <c r="C2765" s="1324"/>
      <c r="D2765" s="1324"/>
      <c r="E2765" s="1329"/>
      <c r="F2765" s="1324">
        <v>30</v>
      </c>
      <c r="G2765" s="1324">
        <v>20</v>
      </c>
      <c r="H2765" s="1329">
        <f t="shared" si="366"/>
        <v>0.66666666666666663</v>
      </c>
      <c r="I2765" s="1328">
        <f t="shared" si="365"/>
        <v>30</v>
      </c>
      <c r="J2765" s="695">
        <f t="shared" si="367"/>
        <v>20</v>
      </c>
      <c r="K2765" s="650">
        <f t="shared" si="368"/>
        <v>0.66666666666666663</v>
      </c>
    </row>
    <row r="2766" spans="1:11" ht="24.95" customHeight="1">
      <c r="A2766" s="456" t="s">
        <v>3090</v>
      </c>
      <c r="B2766" s="1246" t="s">
        <v>5302</v>
      </c>
      <c r="C2766" s="1324"/>
      <c r="D2766" s="1324"/>
      <c r="E2766" s="1329"/>
      <c r="F2766" s="1324">
        <v>2</v>
      </c>
      <c r="G2766" s="1324">
        <v>1</v>
      </c>
      <c r="H2766" s="1329">
        <f t="shared" si="366"/>
        <v>0.5</v>
      </c>
      <c r="I2766" s="1328">
        <f t="shared" si="365"/>
        <v>2</v>
      </c>
      <c r="J2766" s="695">
        <f t="shared" si="367"/>
        <v>1</v>
      </c>
      <c r="K2766" s="650">
        <f t="shared" si="368"/>
        <v>0.5</v>
      </c>
    </row>
    <row r="2767" spans="1:11" ht="24.95" customHeight="1">
      <c r="A2767" s="456" t="s">
        <v>3812</v>
      </c>
      <c r="B2767" s="452" t="s">
        <v>3813</v>
      </c>
      <c r="C2767" s="1324"/>
      <c r="D2767" s="1324"/>
      <c r="E2767" s="1329"/>
      <c r="F2767" s="1324">
        <v>10</v>
      </c>
      <c r="G2767" s="1324">
        <v>6</v>
      </c>
      <c r="H2767" s="1329">
        <f t="shared" si="366"/>
        <v>0.6</v>
      </c>
      <c r="I2767" s="1328">
        <f t="shared" si="365"/>
        <v>10</v>
      </c>
      <c r="J2767" s="695">
        <f t="shared" si="367"/>
        <v>6</v>
      </c>
      <c r="K2767" s="650">
        <f t="shared" si="368"/>
        <v>0.6</v>
      </c>
    </row>
    <row r="2768" spans="1:11" ht="24.95" customHeight="1">
      <c r="A2768" s="456" t="s">
        <v>3853</v>
      </c>
      <c r="B2768" s="452" t="s">
        <v>2950</v>
      </c>
      <c r="C2768" s="1324"/>
      <c r="D2768" s="1324"/>
      <c r="E2768" s="1329"/>
      <c r="F2768" s="1324">
        <v>5</v>
      </c>
      <c r="G2768" s="1324">
        <v>1</v>
      </c>
      <c r="H2768" s="1329">
        <f t="shared" si="366"/>
        <v>0.2</v>
      </c>
      <c r="I2768" s="1328">
        <f t="shared" si="365"/>
        <v>5</v>
      </c>
      <c r="J2768" s="695">
        <f t="shared" si="367"/>
        <v>1</v>
      </c>
      <c r="K2768" s="650">
        <f t="shared" si="368"/>
        <v>0.2</v>
      </c>
    </row>
    <row r="2769" spans="1:11" ht="24.95" customHeight="1">
      <c r="A2769" s="456" t="s">
        <v>2951</v>
      </c>
      <c r="B2769" s="452" t="s">
        <v>3856</v>
      </c>
      <c r="C2769" s="1324"/>
      <c r="D2769" s="1324"/>
      <c r="E2769" s="1329"/>
      <c r="F2769" s="1324">
        <v>5</v>
      </c>
      <c r="G2769" s="1324">
        <v>1</v>
      </c>
      <c r="H2769" s="1329">
        <f t="shared" si="366"/>
        <v>0.2</v>
      </c>
      <c r="I2769" s="1328">
        <f t="shared" si="365"/>
        <v>5</v>
      </c>
      <c r="J2769" s="695">
        <f t="shared" si="367"/>
        <v>1</v>
      </c>
      <c r="K2769" s="650">
        <f t="shared" si="368"/>
        <v>0.2</v>
      </c>
    </row>
    <row r="2770" spans="1:11" ht="24.95" customHeight="1">
      <c r="A2770" s="456" t="s">
        <v>2955</v>
      </c>
      <c r="B2770" s="452" t="s">
        <v>2956</v>
      </c>
      <c r="C2770" s="1324"/>
      <c r="D2770" s="1324"/>
      <c r="E2770" s="1329"/>
      <c r="F2770" s="1324">
        <v>20</v>
      </c>
      <c r="G2770" s="1324">
        <v>11</v>
      </c>
      <c r="H2770" s="1329">
        <f t="shared" si="366"/>
        <v>0.55000000000000004</v>
      </c>
      <c r="I2770" s="1328">
        <f t="shared" si="365"/>
        <v>20</v>
      </c>
      <c r="J2770" s="695">
        <f t="shared" si="367"/>
        <v>11</v>
      </c>
      <c r="K2770" s="650">
        <f t="shared" si="368"/>
        <v>0.55000000000000004</v>
      </c>
    </row>
    <row r="2771" spans="1:11" ht="24.95" customHeight="1">
      <c r="A2771" s="456" t="s">
        <v>2327</v>
      </c>
      <c r="B2771" s="452" t="s">
        <v>2328</v>
      </c>
      <c r="C2771" s="1324"/>
      <c r="D2771" s="1324"/>
      <c r="E2771" s="1329"/>
      <c r="F2771" s="1324">
        <v>40</v>
      </c>
      <c r="G2771" s="1324">
        <v>7</v>
      </c>
      <c r="H2771" s="1329">
        <f t="shared" si="366"/>
        <v>0.17499999999999999</v>
      </c>
      <c r="I2771" s="1323">
        <f t="shared" si="365"/>
        <v>40</v>
      </c>
      <c r="J2771" s="695">
        <f t="shared" si="367"/>
        <v>7</v>
      </c>
      <c r="K2771" s="650">
        <f t="shared" si="368"/>
        <v>0.17499999999999999</v>
      </c>
    </row>
    <row r="2772" spans="1:11" ht="24.95" customHeight="1">
      <c r="A2772" s="456" t="s">
        <v>2624</v>
      </c>
      <c r="B2772" s="1236" t="s">
        <v>2330</v>
      </c>
      <c r="C2772" s="1324"/>
      <c r="D2772" s="1324"/>
      <c r="E2772" s="1329"/>
      <c r="F2772" s="1324">
        <v>75</v>
      </c>
      <c r="G2772" s="1324">
        <v>62</v>
      </c>
      <c r="H2772" s="1329">
        <f t="shared" si="366"/>
        <v>0.82666666666666666</v>
      </c>
      <c r="I2772" s="1328">
        <f t="shared" si="365"/>
        <v>75</v>
      </c>
      <c r="J2772" s="695">
        <f t="shared" si="367"/>
        <v>62</v>
      </c>
      <c r="K2772" s="650">
        <f t="shared" si="368"/>
        <v>0.82666666666666666</v>
      </c>
    </row>
    <row r="2773" spans="1:11" ht="24.95" customHeight="1">
      <c r="A2773" s="456" t="s">
        <v>2331</v>
      </c>
      <c r="B2773" s="452" t="s">
        <v>2332</v>
      </c>
      <c r="C2773" s="1324"/>
      <c r="D2773" s="1324"/>
      <c r="E2773" s="1329"/>
      <c r="F2773" s="1324">
        <v>2</v>
      </c>
      <c r="G2773" s="1324"/>
      <c r="H2773" s="1329">
        <f t="shared" si="366"/>
        <v>0</v>
      </c>
      <c r="I2773" s="1328">
        <f t="shared" si="365"/>
        <v>2</v>
      </c>
      <c r="J2773" s="695">
        <f t="shared" si="367"/>
        <v>0</v>
      </c>
      <c r="K2773" s="650">
        <f t="shared" si="368"/>
        <v>0</v>
      </c>
    </row>
    <row r="2774" spans="1:11" ht="24.95" customHeight="1">
      <c r="A2774" s="456" t="s">
        <v>2631</v>
      </c>
      <c r="B2774" s="1236" t="s">
        <v>2632</v>
      </c>
      <c r="C2774" s="1324"/>
      <c r="D2774" s="1324"/>
      <c r="E2774" s="1329"/>
      <c r="F2774" s="1324">
        <v>5</v>
      </c>
      <c r="G2774" s="1324"/>
      <c r="H2774" s="1329">
        <f t="shared" si="366"/>
        <v>0</v>
      </c>
      <c r="I2774" s="1328">
        <f t="shared" si="365"/>
        <v>5</v>
      </c>
      <c r="J2774" s="695">
        <f t="shared" si="367"/>
        <v>0</v>
      </c>
      <c r="K2774" s="650">
        <f t="shared" si="368"/>
        <v>0</v>
      </c>
    </row>
    <row r="2775" spans="1:11" ht="24.95" customHeight="1">
      <c r="A2775" s="456" t="s">
        <v>2178</v>
      </c>
      <c r="B2775" s="452" t="s">
        <v>2179</v>
      </c>
      <c r="C2775" s="1324"/>
      <c r="D2775" s="1324"/>
      <c r="E2775" s="1329"/>
      <c r="F2775" s="1324">
        <v>5</v>
      </c>
      <c r="G2775" s="1324">
        <v>1</v>
      </c>
      <c r="H2775" s="1329">
        <f t="shared" si="366"/>
        <v>0.2</v>
      </c>
      <c r="I2775" s="1328">
        <f t="shared" si="365"/>
        <v>5</v>
      </c>
      <c r="J2775" s="695">
        <f t="shared" si="367"/>
        <v>1</v>
      </c>
      <c r="K2775" s="650">
        <f t="shared" si="368"/>
        <v>0.2</v>
      </c>
    </row>
    <row r="2776" spans="1:11" ht="24.95" customHeight="1">
      <c r="A2776" s="1325" t="s">
        <v>2637</v>
      </c>
      <c r="B2776" s="1236" t="s">
        <v>2638</v>
      </c>
      <c r="C2776" s="1324"/>
      <c r="D2776" s="1324"/>
      <c r="E2776" s="1329"/>
      <c r="F2776" s="1324">
        <v>2</v>
      </c>
      <c r="G2776" s="1324"/>
      <c r="H2776" s="1329">
        <f t="shared" si="366"/>
        <v>0</v>
      </c>
      <c r="I2776" s="1323">
        <f t="shared" si="365"/>
        <v>2</v>
      </c>
      <c r="J2776" s="695">
        <f t="shared" si="367"/>
        <v>0</v>
      </c>
      <c r="K2776" s="650">
        <f t="shared" si="368"/>
        <v>0</v>
      </c>
    </row>
    <row r="2777" spans="1:11" ht="24.95" customHeight="1">
      <c r="A2777" s="456" t="s">
        <v>2639</v>
      </c>
      <c r="B2777" s="452" t="s">
        <v>3048</v>
      </c>
      <c r="C2777" s="1324"/>
      <c r="D2777" s="1324"/>
      <c r="E2777" s="1329"/>
      <c r="F2777" s="1324">
        <v>30</v>
      </c>
      <c r="G2777" s="1324">
        <v>20</v>
      </c>
      <c r="H2777" s="1329">
        <f t="shared" si="366"/>
        <v>0.66666666666666663</v>
      </c>
      <c r="I2777" s="1328">
        <f t="shared" si="365"/>
        <v>30</v>
      </c>
      <c r="J2777" s="695">
        <f t="shared" si="367"/>
        <v>20</v>
      </c>
      <c r="K2777" s="650">
        <f t="shared" si="368"/>
        <v>0.66666666666666663</v>
      </c>
    </row>
    <row r="2778" spans="1:11" ht="24.95" customHeight="1">
      <c r="A2778" s="456" t="s">
        <v>2643</v>
      </c>
      <c r="B2778" s="452" t="s">
        <v>2973</v>
      </c>
      <c r="C2778" s="1324"/>
      <c r="D2778" s="1324"/>
      <c r="E2778" s="1329"/>
      <c r="F2778" s="1324">
        <v>2</v>
      </c>
      <c r="G2778" s="1324"/>
      <c r="H2778" s="1329">
        <f t="shared" si="366"/>
        <v>0</v>
      </c>
      <c r="I2778" s="1328">
        <f t="shared" si="365"/>
        <v>2</v>
      </c>
      <c r="J2778" s="695">
        <f t="shared" si="367"/>
        <v>0</v>
      </c>
      <c r="K2778" s="650">
        <f t="shared" si="368"/>
        <v>0</v>
      </c>
    </row>
    <row r="2779" spans="1:11" ht="24.95" customHeight="1">
      <c r="A2779" s="456" t="s">
        <v>2645</v>
      </c>
      <c r="B2779" s="452" t="s">
        <v>2646</v>
      </c>
      <c r="C2779" s="1324"/>
      <c r="D2779" s="1324"/>
      <c r="E2779" s="1329"/>
      <c r="F2779" s="1324">
        <v>2</v>
      </c>
      <c r="G2779" s="1324">
        <v>1</v>
      </c>
      <c r="H2779" s="1329">
        <f t="shared" si="366"/>
        <v>0.5</v>
      </c>
      <c r="I2779" s="1328">
        <f t="shared" si="365"/>
        <v>2</v>
      </c>
      <c r="J2779" s="695">
        <f t="shared" si="367"/>
        <v>1</v>
      </c>
      <c r="K2779" s="650">
        <f t="shared" si="368"/>
        <v>0.5</v>
      </c>
    </row>
    <row r="2780" spans="1:11" ht="24.95" customHeight="1">
      <c r="A2780" s="1235" t="s">
        <v>2667</v>
      </c>
      <c r="B2780" s="1236" t="s">
        <v>3004</v>
      </c>
      <c r="C2780" s="1324"/>
      <c r="D2780" s="1324"/>
      <c r="E2780" s="1329"/>
      <c r="F2780" s="1324">
        <v>10</v>
      </c>
      <c r="G2780" s="1324">
        <v>2</v>
      </c>
      <c r="H2780" s="1329">
        <f t="shared" si="366"/>
        <v>0.2</v>
      </c>
      <c r="I2780" s="1328">
        <f t="shared" si="365"/>
        <v>10</v>
      </c>
      <c r="J2780" s="695">
        <f t="shared" si="367"/>
        <v>2</v>
      </c>
      <c r="K2780" s="650">
        <f t="shared" si="368"/>
        <v>0.2</v>
      </c>
    </row>
    <row r="2781" spans="1:11" ht="24.95" customHeight="1">
      <c r="A2781" s="1235" t="s">
        <v>5299</v>
      </c>
      <c r="B2781" s="1236" t="s">
        <v>5300</v>
      </c>
      <c r="C2781" s="1324"/>
      <c r="D2781" s="1324"/>
      <c r="E2781" s="1329"/>
      <c r="F2781" s="1324">
        <v>5</v>
      </c>
      <c r="G2781" s="1324"/>
      <c r="H2781" s="1329">
        <f t="shared" si="366"/>
        <v>0</v>
      </c>
      <c r="I2781" s="1328">
        <f t="shared" si="365"/>
        <v>5</v>
      </c>
      <c r="J2781" s="695">
        <f t="shared" si="367"/>
        <v>0</v>
      </c>
      <c r="K2781" s="650">
        <f t="shared" si="368"/>
        <v>0</v>
      </c>
    </row>
    <row r="2782" spans="1:11" ht="24.95" customHeight="1">
      <c r="A2782" s="456" t="s">
        <v>2657</v>
      </c>
      <c r="B2782" s="452" t="s">
        <v>2658</v>
      </c>
      <c r="C2782" s="1324"/>
      <c r="D2782" s="1324"/>
      <c r="E2782" s="1329"/>
      <c r="F2782" s="1324">
        <v>4</v>
      </c>
      <c r="G2782" s="1324"/>
      <c r="H2782" s="1329">
        <f t="shared" si="366"/>
        <v>0</v>
      </c>
      <c r="I2782" s="1328">
        <f t="shared" si="365"/>
        <v>4</v>
      </c>
      <c r="J2782" s="695">
        <f t="shared" si="367"/>
        <v>0</v>
      </c>
      <c r="K2782" s="650">
        <f t="shared" si="368"/>
        <v>0</v>
      </c>
    </row>
    <row r="2783" spans="1:11" ht="24.95" customHeight="1">
      <c r="A2783" s="1210"/>
      <c r="B2783" s="1331" t="s">
        <v>3157</v>
      </c>
      <c r="C2783" s="1332">
        <f t="shared" ref="C2783:J2783" si="369">SUM(C2742:C2782)</f>
        <v>0</v>
      </c>
      <c r="D2783" s="1332">
        <f t="shared" si="369"/>
        <v>0</v>
      </c>
      <c r="E2783" s="1333" t="e">
        <f>+D2783/C2783</f>
        <v>#DIV/0!</v>
      </c>
      <c r="F2783" s="1332">
        <f t="shared" si="369"/>
        <v>442</v>
      </c>
      <c r="G2783" s="1332">
        <f t="shared" si="369"/>
        <v>235</v>
      </c>
      <c r="H2783" s="1329">
        <f t="shared" si="366"/>
        <v>0.53167420814479638</v>
      </c>
      <c r="I2783" s="1332">
        <f t="shared" si="369"/>
        <v>442</v>
      </c>
      <c r="J2783" s="1332">
        <f t="shared" si="369"/>
        <v>235</v>
      </c>
      <c r="K2783" s="650">
        <f t="shared" si="368"/>
        <v>0.53167420814479638</v>
      </c>
    </row>
    <row r="2784" spans="1:11" ht="24.95" customHeight="1">
      <c r="A2784" s="1210"/>
      <c r="B2784" s="1331" t="s">
        <v>3113</v>
      </c>
      <c r="C2784" s="1332">
        <f t="shared" ref="C2784:J2784" si="370">+C2740</f>
        <v>14755</v>
      </c>
      <c r="D2784" s="1332">
        <f t="shared" si="370"/>
        <v>9051</v>
      </c>
      <c r="E2784" s="1333">
        <f t="shared" ref="E2784:E2785" si="371">+D2784/C2784</f>
        <v>0.61341917993900374</v>
      </c>
      <c r="F2784" s="1332">
        <f t="shared" si="370"/>
        <v>51933</v>
      </c>
      <c r="G2784" s="1332">
        <f t="shared" si="370"/>
        <v>24621</v>
      </c>
      <c r="H2784" s="1329">
        <f t="shared" si="366"/>
        <v>0.47409161804632893</v>
      </c>
      <c r="I2784" s="1332">
        <f t="shared" si="370"/>
        <v>66682</v>
      </c>
      <c r="J2784" s="1332">
        <f t="shared" si="370"/>
        <v>33672</v>
      </c>
      <c r="K2784" s="650">
        <f t="shared" si="368"/>
        <v>0.50496385831258805</v>
      </c>
    </row>
    <row r="2785" spans="1:11" ht="24.95" customHeight="1">
      <c r="A2785" s="1210"/>
      <c r="B2785" s="1331" t="s">
        <v>2671</v>
      </c>
      <c r="C2785" s="1334">
        <f t="shared" ref="C2785:J2785" si="372">+C2783+C2784</f>
        <v>14755</v>
      </c>
      <c r="D2785" s="1334">
        <f t="shared" si="372"/>
        <v>9051</v>
      </c>
      <c r="E2785" s="1333">
        <f t="shared" si="371"/>
        <v>0.61341917993900374</v>
      </c>
      <c r="F2785" s="1334">
        <f t="shared" si="372"/>
        <v>52375</v>
      </c>
      <c r="G2785" s="1334">
        <f t="shared" si="372"/>
        <v>24856</v>
      </c>
      <c r="H2785" s="1329">
        <f t="shared" si="366"/>
        <v>0.47457756563245823</v>
      </c>
      <c r="I2785" s="1334">
        <f t="shared" si="372"/>
        <v>67124</v>
      </c>
      <c r="J2785" s="1334">
        <f t="shared" si="372"/>
        <v>33907</v>
      </c>
      <c r="K2785" s="650">
        <f t="shared" si="368"/>
        <v>0.50513974137417317</v>
      </c>
    </row>
    <row r="2786" spans="1:11" ht="24.95" customHeight="1">
      <c r="A2786" s="2033" t="s">
        <v>149</v>
      </c>
      <c r="B2786" s="2033"/>
      <c r="C2786" s="2033"/>
      <c r="D2786" s="2033"/>
      <c r="E2786" s="2033"/>
      <c r="F2786" s="2033"/>
      <c r="G2786" s="2033"/>
      <c r="H2786" s="2033"/>
      <c r="I2786" s="2033"/>
      <c r="K2786" s="643"/>
    </row>
    <row r="2787" spans="1:11" ht="24.95" customHeight="1">
      <c r="A2787" s="2034"/>
      <c r="B2787" s="2034"/>
      <c r="C2787" s="2034"/>
      <c r="D2787" s="2034"/>
      <c r="E2787" s="2034"/>
      <c r="F2787" s="2034"/>
      <c r="G2787" s="2034"/>
      <c r="H2787" s="2034"/>
      <c r="I2787" s="2034"/>
      <c r="K2787" s="643"/>
    </row>
    <row r="2788" spans="1:11" ht="24.95" customHeight="1">
      <c r="A2788" s="2035" t="s">
        <v>208</v>
      </c>
      <c r="B2788" s="2036"/>
      <c r="C2788" s="2037" t="s">
        <v>1852</v>
      </c>
      <c r="D2788" s="2038"/>
      <c r="E2788" s="2038"/>
      <c r="F2788" s="2038"/>
      <c r="G2788" s="2038"/>
      <c r="H2788" s="2038"/>
      <c r="I2788" s="2038"/>
      <c r="J2788" s="2038"/>
      <c r="K2788" s="2038"/>
    </row>
    <row r="2789" spans="1:11" ht="24.95" customHeight="1">
      <c r="A2789" s="2022" t="s">
        <v>209</v>
      </c>
      <c r="B2789" s="2023"/>
      <c r="C2789" s="2024">
        <v>17878735</v>
      </c>
      <c r="D2789" s="2025"/>
      <c r="E2789" s="2025"/>
      <c r="F2789" s="2025"/>
      <c r="G2789" s="2025"/>
      <c r="H2789" s="2025"/>
      <c r="I2789" s="2025"/>
      <c r="J2789" s="2025"/>
      <c r="K2789" s="2025"/>
    </row>
    <row r="2790" spans="1:11" ht="24.95" customHeight="1">
      <c r="A2790" s="2022" t="s">
        <v>211</v>
      </c>
      <c r="B2790" s="2023"/>
      <c r="C2790" s="2026" t="s">
        <v>1812</v>
      </c>
      <c r="D2790" s="2027"/>
      <c r="E2790" s="2027"/>
      <c r="F2790" s="2027"/>
      <c r="G2790" s="2027"/>
      <c r="H2790" s="2027"/>
      <c r="I2790" s="2027"/>
      <c r="J2790" s="2027"/>
      <c r="K2790" s="2027"/>
    </row>
    <row r="2791" spans="1:11" ht="24.95" customHeight="1">
      <c r="A2791" s="2022" t="s">
        <v>210</v>
      </c>
      <c r="B2791" s="2023"/>
      <c r="C2791" s="2028" t="s">
        <v>331</v>
      </c>
      <c r="D2791" s="2029"/>
      <c r="E2791" s="2029"/>
      <c r="F2791" s="2029"/>
      <c r="G2791" s="2029"/>
      <c r="H2791" s="2029"/>
      <c r="I2791" s="2029"/>
      <c r="J2791" s="2029"/>
      <c r="K2791" s="2029"/>
    </row>
    <row r="2792" spans="1:11" ht="24.95" customHeight="1">
      <c r="A2792" s="2018" t="s">
        <v>251</v>
      </c>
      <c r="B2792" s="2019"/>
      <c r="C2792" s="2020" t="s">
        <v>1838</v>
      </c>
      <c r="D2792" s="2021"/>
      <c r="E2792" s="2021"/>
      <c r="F2792" s="2021"/>
      <c r="G2792" s="2021"/>
      <c r="H2792" s="2021"/>
      <c r="I2792" s="2021"/>
      <c r="J2792" s="2021"/>
      <c r="K2792" s="2021"/>
    </row>
    <row r="2793" spans="1:11" ht="24.95" customHeight="1">
      <c r="A2793" s="1933" t="s">
        <v>122</v>
      </c>
      <c r="B2793" s="1933" t="s">
        <v>253</v>
      </c>
      <c r="C2793" s="1935" t="s">
        <v>2038</v>
      </c>
      <c r="D2793" s="1935"/>
      <c r="E2793" s="1935"/>
      <c r="F2793" s="1935" t="s">
        <v>2039</v>
      </c>
      <c r="G2793" s="1935"/>
      <c r="H2793" s="1935"/>
      <c r="I2793" s="1935" t="s">
        <v>90</v>
      </c>
      <c r="J2793" s="1935"/>
      <c r="K2793" s="1935"/>
    </row>
    <row r="2794" spans="1:11" ht="24.95" customHeight="1">
      <c r="A2794" s="1934"/>
      <c r="B2794" s="1934"/>
      <c r="C2794" s="545" t="s">
        <v>368</v>
      </c>
      <c r="D2794" s="547" t="s">
        <v>2040</v>
      </c>
      <c r="E2794" s="546" t="s">
        <v>2041</v>
      </c>
      <c r="F2794" s="545" t="s">
        <v>368</v>
      </c>
      <c r="G2794" s="547" t="s">
        <v>2040</v>
      </c>
      <c r="H2794" s="546" t="s">
        <v>2041</v>
      </c>
      <c r="I2794" s="545" t="s">
        <v>368</v>
      </c>
      <c r="J2794" s="547" t="s">
        <v>2040</v>
      </c>
      <c r="K2794" s="546" t="s">
        <v>2041</v>
      </c>
    </row>
    <row r="2795" spans="1:11" ht="24.95" customHeight="1">
      <c r="A2795" s="1335"/>
      <c r="B2795" s="1336" t="s">
        <v>2673</v>
      </c>
      <c r="C2795" s="2011"/>
      <c r="D2795" s="2012"/>
      <c r="E2795" s="2012"/>
      <c r="F2795" s="2012"/>
      <c r="G2795" s="2012"/>
      <c r="H2795" s="2012"/>
      <c r="I2795" s="2012"/>
      <c r="J2795" s="2012"/>
      <c r="K2795" s="2012"/>
    </row>
    <row r="2796" spans="1:11" ht="24.95" customHeight="1">
      <c r="A2796" s="456" t="s">
        <v>5303</v>
      </c>
      <c r="B2796" s="1337" t="s">
        <v>5304</v>
      </c>
      <c r="C2796" s="1338"/>
      <c r="D2796" s="1338"/>
      <c r="E2796" s="1339" t="e">
        <f>+D2796/C2796</f>
        <v>#DIV/0!</v>
      </c>
      <c r="F2796" s="1338"/>
      <c r="G2796" s="1338"/>
      <c r="H2796" s="1339" t="e">
        <f>+G2796/F2796</f>
        <v>#DIV/0!</v>
      </c>
      <c r="I2796" s="1340">
        <f>+C2796+F2796</f>
        <v>0</v>
      </c>
      <c r="J2796" s="1341">
        <f>+D2796+G2796</f>
        <v>0</v>
      </c>
      <c r="K2796" s="1342" t="e">
        <f>+J2796/I2796</f>
        <v>#DIV/0!</v>
      </c>
    </row>
    <row r="2797" spans="1:11" ht="24.95" customHeight="1">
      <c r="A2797" s="456" t="s">
        <v>5305</v>
      </c>
      <c r="B2797" s="1236" t="s">
        <v>5306</v>
      </c>
      <c r="C2797" s="1338"/>
      <c r="D2797" s="1338"/>
      <c r="E2797" s="1339" t="e">
        <f t="shared" ref="E2797:E2860" si="373">+D2797/C2797</f>
        <v>#DIV/0!</v>
      </c>
      <c r="F2797" s="1338">
        <v>10</v>
      </c>
      <c r="G2797" s="1338">
        <v>15</v>
      </c>
      <c r="H2797" s="1339">
        <f t="shared" ref="H2797:H2860" si="374">+G2797/F2797</f>
        <v>1.5</v>
      </c>
      <c r="I2797" s="1340">
        <f>+C2797+F2797</f>
        <v>10</v>
      </c>
      <c r="J2797" s="1341">
        <f t="shared" ref="J2797:J2860" si="375">+D2797+G2797</f>
        <v>15</v>
      </c>
      <c r="K2797" s="1342">
        <f t="shared" ref="K2797:K2860" si="376">+J2797/I2797</f>
        <v>1.5</v>
      </c>
    </row>
    <row r="2798" spans="1:11" ht="24.95" customHeight="1">
      <c r="A2798" s="456" t="s">
        <v>5307</v>
      </c>
      <c r="B2798" s="1236" t="s">
        <v>5308</v>
      </c>
      <c r="C2798" s="1338"/>
      <c r="D2798" s="1338"/>
      <c r="E2798" s="1339" t="e">
        <f t="shared" si="373"/>
        <v>#DIV/0!</v>
      </c>
      <c r="F2798" s="1338"/>
      <c r="G2798" s="1338"/>
      <c r="H2798" s="1339" t="e">
        <f t="shared" si="374"/>
        <v>#DIV/0!</v>
      </c>
      <c r="I2798" s="1340"/>
      <c r="J2798" s="1341">
        <f t="shared" si="375"/>
        <v>0</v>
      </c>
      <c r="K2798" s="1342" t="e">
        <f t="shared" si="376"/>
        <v>#DIV/0!</v>
      </c>
    </row>
    <row r="2799" spans="1:11" ht="24.95" customHeight="1">
      <c r="A2799" s="1235" t="s">
        <v>2413</v>
      </c>
      <c r="B2799" s="1343" t="s">
        <v>2414</v>
      </c>
      <c r="C2799" s="1338"/>
      <c r="D2799" s="1338"/>
      <c r="E2799" s="1339" t="e">
        <f t="shared" si="373"/>
        <v>#DIV/0!</v>
      </c>
      <c r="F2799" s="1338"/>
      <c r="G2799" s="1338"/>
      <c r="H2799" s="1339" t="e">
        <f t="shared" si="374"/>
        <v>#DIV/0!</v>
      </c>
      <c r="I2799" s="1340">
        <f t="shared" ref="I2799:J2861" si="377">+C2799+F2799</f>
        <v>0</v>
      </c>
      <c r="J2799" s="1341">
        <f t="shared" si="375"/>
        <v>0</v>
      </c>
      <c r="K2799" s="1342" t="e">
        <f t="shared" si="376"/>
        <v>#DIV/0!</v>
      </c>
    </row>
    <row r="2800" spans="1:11" ht="24.95" customHeight="1">
      <c r="A2800" s="456" t="s">
        <v>5170</v>
      </c>
      <c r="B2800" s="1337" t="s">
        <v>5171</v>
      </c>
      <c r="C2800" s="1338"/>
      <c r="D2800" s="1338"/>
      <c r="E2800" s="1339" t="e">
        <f t="shared" si="373"/>
        <v>#DIV/0!</v>
      </c>
      <c r="F2800" s="1338">
        <v>5</v>
      </c>
      <c r="G2800" s="1338"/>
      <c r="H2800" s="1339">
        <f t="shared" si="374"/>
        <v>0</v>
      </c>
      <c r="I2800" s="1340">
        <f t="shared" si="377"/>
        <v>5</v>
      </c>
      <c r="J2800" s="1341">
        <f t="shared" si="375"/>
        <v>0</v>
      </c>
      <c r="K2800" s="1342">
        <f t="shared" si="376"/>
        <v>0</v>
      </c>
    </row>
    <row r="2801" spans="1:11" ht="24.95" customHeight="1">
      <c r="A2801" s="456" t="s">
        <v>3569</v>
      </c>
      <c r="B2801" s="1337" t="s">
        <v>3570</v>
      </c>
      <c r="C2801" s="1338"/>
      <c r="D2801" s="1338"/>
      <c r="E2801" s="1339" t="e">
        <f t="shared" si="373"/>
        <v>#DIV/0!</v>
      </c>
      <c r="F2801" s="1338">
        <v>2</v>
      </c>
      <c r="G2801" s="1338"/>
      <c r="H2801" s="1339">
        <f t="shared" si="374"/>
        <v>0</v>
      </c>
      <c r="I2801" s="1340">
        <f t="shared" si="377"/>
        <v>2</v>
      </c>
      <c r="J2801" s="1341">
        <f t="shared" si="375"/>
        <v>0</v>
      </c>
      <c r="K2801" s="1342">
        <f t="shared" si="376"/>
        <v>0</v>
      </c>
    </row>
    <row r="2802" spans="1:11" ht="24.95" customHeight="1">
      <c r="A2802" s="456" t="s">
        <v>5309</v>
      </c>
      <c r="B2802" s="1337" t="s">
        <v>5310</v>
      </c>
      <c r="C2802" s="1338"/>
      <c r="D2802" s="1338"/>
      <c r="E2802" s="1339" t="e">
        <f t="shared" si="373"/>
        <v>#DIV/0!</v>
      </c>
      <c r="F2802" s="1338">
        <v>2</v>
      </c>
      <c r="G2802" s="1338"/>
      <c r="H2802" s="1339">
        <f t="shared" si="374"/>
        <v>0</v>
      </c>
      <c r="I2802" s="1340">
        <f t="shared" si="377"/>
        <v>2</v>
      </c>
      <c r="J2802" s="1341">
        <f t="shared" si="375"/>
        <v>0</v>
      </c>
      <c r="K2802" s="1342">
        <f t="shared" si="376"/>
        <v>0</v>
      </c>
    </row>
    <row r="2803" spans="1:11" ht="24.95" customHeight="1">
      <c r="A2803" s="456" t="s">
        <v>2679</v>
      </c>
      <c r="B2803" s="1233" t="s">
        <v>2680</v>
      </c>
      <c r="C2803" s="1338"/>
      <c r="D2803" s="1338"/>
      <c r="E2803" s="1339" t="e">
        <f t="shared" si="373"/>
        <v>#DIV/0!</v>
      </c>
      <c r="F2803" s="1338">
        <v>2</v>
      </c>
      <c r="G2803" s="1338">
        <v>2</v>
      </c>
      <c r="H2803" s="1339">
        <f t="shared" si="374"/>
        <v>1</v>
      </c>
      <c r="I2803" s="1340">
        <f t="shared" si="377"/>
        <v>2</v>
      </c>
      <c r="J2803" s="1341">
        <f t="shared" si="375"/>
        <v>2</v>
      </c>
      <c r="K2803" s="1342">
        <f t="shared" si="376"/>
        <v>1</v>
      </c>
    </row>
    <row r="2804" spans="1:11" ht="24.95" customHeight="1">
      <c r="A2804" s="1235" t="s">
        <v>5311</v>
      </c>
      <c r="B2804" s="1233" t="s">
        <v>5312</v>
      </c>
      <c r="C2804" s="1338"/>
      <c r="D2804" s="1338"/>
      <c r="E2804" s="1339" t="e">
        <f t="shared" si="373"/>
        <v>#DIV/0!</v>
      </c>
      <c r="F2804" s="1338">
        <v>2</v>
      </c>
      <c r="G2804" s="1338"/>
      <c r="H2804" s="1339">
        <f t="shared" si="374"/>
        <v>0</v>
      </c>
      <c r="I2804" s="1340">
        <f t="shared" si="377"/>
        <v>2</v>
      </c>
      <c r="J2804" s="1341">
        <f t="shared" si="375"/>
        <v>0</v>
      </c>
      <c r="K2804" s="1342">
        <f t="shared" si="376"/>
        <v>0</v>
      </c>
    </row>
    <row r="2805" spans="1:11" ht="24.95" customHeight="1">
      <c r="A2805" s="1235" t="s">
        <v>5313</v>
      </c>
      <c r="B2805" s="1233" t="s">
        <v>5314</v>
      </c>
      <c r="C2805" s="1338"/>
      <c r="D2805" s="1338"/>
      <c r="E2805" s="1339" t="e">
        <f t="shared" si="373"/>
        <v>#DIV/0!</v>
      </c>
      <c r="F2805" s="1338"/>
      <c r="G2805" s="1338"/>
      <c r="H2805" s="1339" t="e">
        <f t="shared" si="374"/>
        <v>#DIV/0!</v>
      </c>
      <c r="I2805" s="1340">
        <f t="shared" si="377"/>
        <v>0</v>
      </c>
      <c r="J2805" s="1341">
        <f t="shared" si="375"/>
        <v>0</v>
      </c>
      <c r="K2805" s="1342" t="e">
        <f t="shared" si="376"/>
        <v>#DIV/0!</v>
      </c>
    </row>
    <row r="2806" spans="1:11" ht="24.95" customHeight="1">
      <c r="A2806" s="1235" t="s">
        <v>5315</v>
      </c>
      <c r="B2806" s="1236" t="s">
        <v>5316</v>
      </c>
      <c r="C2806" s="1338"/>
      <c r="D2806" s="1338"/>
      <c r="E2806" s="1339" t="e">
        <f t="shared" si="373"/>
        <v>#DIV/0!</v>
      </c>
      <c r="F2806" s="1338"/>
      <c r="G2806" s="1338"/>
      <c r="H2806" s="1339" t="e">
        <f t="shared" si="374"/>
        <v>#DIV/0!</v>
      </c>
      <c r="I2806" s="1340">
        <f t="shared" si="377"/>
        <v>0</v>
      </c>
      <c r="J2806" s="1341">
        <f t="shared" si="375"/>
        <v>0</v>
      </c>
      <c r="K2806" s="1342" t="e">
        <f t="shared" si="376"/>
        <v>#DIV/0!</v>
      </c>
    </row>
    <row r="2807" spans="1:11" ht="24.95" customHeight="1">
      <c r="A2807" s="1235" t="s">
        <v>5317</v>
      </c>
      <c r="B2807" s="1236" t="s">
        <v>5193</v>
      </c>
      <c r="C2807" s="1338"/>
      <c r="D2807" s="1338"/>
      <c r="E2807" s="1339" t="e">
        <f t="shared" si="373"/>
        <v>#DIV/0!</v>
      </c>
      <c r="F2807" s="1338"/>
      <c r="G2807" s="1338"/>
      <c r="H2807" s="1339" t="e">
        <f t="shared" si="374"/>
        <v>#DIV/0!</v>
      </c>
      <c r="I2807" s="1340">
        <f t="shared" si="377"/>
        <v>0</v>
      </c>
      <c r="J2807" s="1341">
        <f t="shared" si="375"/>
        <v>0</v>
      </c>
      <c r="K2807" s="1342" t="e">
        <f t="shared" si="376"/>
        <v>#DIV/0!</v>
      </c>
    </row>
    <row r="2808" spans="1:11" ht="24.95" customHeight="1">
      <c r="A2808" s="456" t="s">
        <v>5318</v>
      </c>
      <c r="B2808" s="1337" t="s">
        <v>5319</v>
      </c>
      <c r="C2808" s="1338"/>
      <c r="D2808" s="1338"/>
      <c r="E2808" s="1339" t="e">
        <f t="shared" si="373"/>
        <v>#DIV/0!</v>
      </c>
      <c r="F2808" s="1338">
        <v>20</v>
      </c>
      <c r="G2808" s="1338">
        <v>8</v>
      </c>
      <c r="H2808" s="1339">
        <f t="shared" si="374"/>
        <v>0.4</v>
      </c>
      <c r="I2808" s="1340">
        <f t="shared" si="377"/>
        <v>20</v>
      </c>
      <c r="J2808" s="1341">
        <f t="shared" si="375"/>
        <v>8</v>
      </c>
      <c r="K2808" s="1342">
        <f t="shared" si="376"/>
        <v>0.4</v>
      </c>
    </row>
    <row r="2809" spans="1:11" ht="24.95" customHeight="1">
      <c r="A2809" s="456" t="s">
        <v>5194</v>
      </c>
      <c r="B2809" s="1337" t="s">
        <v>5195</v>
      </c>
      <c r="C2809" s="1338"/>
      <c r="D2809" s="1338"/>
      <c r="E2809" s="1339" t="e">
        <f t="shared" si="373"/>
        <v>#DIV/0!</v>
      </c>
      <c r="F2809" s="1338">
        <v>10</v>
      </c>
      <c r="G2809" s="1338">
        <v>5</v>
      </c>
      <c r="H2809" s="1339">
        <f t="shared" si="374"/>
        <v>0.5</v>
      </c>
      <c r="I2809" s="1340">
        <f t="shared" si="377"/>
        <v>10</v>
      </c>
      <c r="J2809" s="1341">
        <f t="shared" si="375"/>
        <v>5</v>
      </c>
      <c r="K2809" s="1342">
        <f t="shared" si="376"/>
        <v>0.5</v>
      </c>
    </row>
    <row r="2810" spans="1:11" ht="24.95" customHeight="1">
      <c r="A2810" s="1235" t="s">
        <v>5320</v>
      </c>
      <c r="B2810" s="1233" t="s">
        <v>5321</v>
      </c>
      <c r="C2810" s="1338"/>
      <c r="D2810" s="1338"/>
      <c r="E2810" s="1339" t="e">
        <f t="shared" si="373"/>
        <v>#DIV/0!</v>
      </c>
      <c r="F2810" s="1338">
        <v>5</v>
      </c>
      <c r="G2810" s="1338">
        <v>2</v>
      </c>
      <c r="H2810" s="1339">
        <f t="shared" si="374"/>
        <v>0.4</v>
      </c>
      <c r="I2810" s="1340">
        <f t="shared" si="377"/>
        <v>5</v>
      </c>
      <c r="J2810" s="1341">
        <f t="shared" si="375"/>
        <v>2</v>
      </c>
      <c r="K2810" s="1342">
        <f t="shared" si="376"/>
        <v>0.4</v>
      </c>
    </row>
    <row r="2811" spans="1:11" ht="24.95" customHeight="1">
      <c r="A2811" s="1235" t="s">
        <v>5322</v>
      </c>
      <c r="B2811" s="1233" t="s">
        <v>5323</v>
      </c>
      <c r="C2811" s="1338"/>
      <c r="D2811" s="1338"/>
      <c r="E2811" s="1339" t="e">
        <f t="shared" si="373"/>
        <v>#DIV/0!</v>
      </c>
      <c r="F2811" s="1338">
        <v>10</v>
      </c>
      <c r="G2811" s="1338">
        <v>4</v>
      </c>
      <c r="H2811" s="1339">
        <f t="shared" si="374"/>
        <v>0.4</v>
      </c>
      <c r="I2811" s="1340">
        <f t="shared" si="377"/>
        <v>10</v>
      </c>
      <c r="J2811" s="1341">
        <f t="shared" si="375"/>
        <v>4</v>
      </c>
      <c r="K2811" s="1342">
        <f t="shared" si="376"/>
        <v>0.4</v>
      </c>
    </row>
    <row r="2812" spans="1:11" ht="24.95" customHeight="1">
      <c r="A2812" s="456" t="s">
        <v>5324</v>
      </c>
      <c r="B2812" s="1337" t="s">
        <v>5325</v>
      </c>
      <c r="C2812" s="1338"/>
      <c r="D2812" s="1338"/>
      <c r="E2812" s="1339" t="e">
        <f t="shared" si="373"/>
        <v>#DIV/0!</v>
      </c>
      <c r="F2812" s="1338">
        <v>25</v>
      </c>
      <c r="G2812" s="1338">
        <v>5</v>
      </c>
      <c r="H2812" s="1339">
        <f t="shared" si="374"/>
        <v>0.2</v>
      </c>
      <c r="I2812" s="1340">
        <f t="shared" si="377"/>
        <v>25</v>
      </c>
      <c r="J2812" s="1341">
        <f t="shared" si="375"/>
        <v>5</v>
      </c>
      <c r="K2812" s="1342">
        <f t="shared" si="376"/>
        <v>0.2</v>
      </c>
    </row>
    <row r="2813" spans="1:11" ht="24.95" customHeight="1">
      <c r="A2813" s="456" t="s">
        <v>5326</v>
      </c>
      <c r="B2813" s="1337" t="s">
        <v>5327</v>
      </c>
      <c r="C2813" s="1338"/>
      <c r="D2813" s="1338"/>
      <c r="E2813" s="1339" t="e">
        <f t="shared" si="373"/>
        <v>#DIV/0!</v>
      </c>
      <c r="F2813" s="1338">
        <v>1</v>
      </c>
      <c r="G2813" s="1338"/>
      <c r="H2813" s="1339">
        <f t="shared" si="374"/>
        <v>0</v>
      </c>
      <c r="I2813" s="1340">
        <f t="shared" si="377"/>
        <v>1</v>
      </c>
      <c r="J2813" s="1341">
        <f t="shared" si="375"/>
        <v>0</v>
      </c>
      <c r="K2813" s="1342">
        <f t="shared" si="376"/>
        <v>0</v>
      </c>
    </row>
    <row r="2814" spans="1:11" ht="24.95" customHeight="1">
      <c r="A2814" s="456" t="s">
        <v>5328</v>
      </c>
      <c r="B2814" s="1337" t="s">
        <v>5329</v>
      </c>
      <c r="C2814" s="1338"/>
      <c r="D2814" s="1338"/>
      <c r="E2814" s="1339" t="e">
        <f t="shared" si="373"/>
        <v>#DIV/0!</v>
      </c>
      <c r="F2814" s="1338">
        <v>5</v>
      </c>
      <c r="G2814" s="1338">
        <v>1</v>
      </c>
      <c r="H2814" s="1339">
        <f t="shared" si="374"/>
        <v>0.2</v>
      </c>
      <c r="I2814" s="1340">
        <f t="shared" si="377"/>
        <v>5</v>
      </c>
      <c r="J2814" s="1341">
        <f t="shared" si="375"/>
        <v>1</v>
      </c>
      <c r="K2814" s="1342">
        <f t="shared" si="376"/>
        <v>0.2</v>
      </c>
    </row>
    <row r="2815" spans="1:11" ht="24.95" customHeight="1">
      <c r="A2815" s="456" t="s">
        <v>5330</v>
      </c>
      <c r="B2815" s="1337" t="s">
        <v>5331</v>
      </c>
      <c r="C2815" s="1338"/>
      <c r="D2815" s="1338"/>
      <c r="E2815" s="1339" t="e">
        <f t="shared" si="373"/>
        <v>#DIV/0!</v>
      </c>
      <c r="F2815" s="1338"/>
      <c r="G2815" s="1338">
        <v>1</v>
      </c>
      <c r="H2815" s="1339" t="e">
        <f t="shared" si="374"/>
        <v>#DIV/0!</v>
      </c>
      <c r="I2815" s="1340">
        <f t="shared" si="377"/>
        <v>0</v>
      </c>
      <c r="J2815" s="1341">
        <f t="shared" si="375"/>
        <v>1</v>
      </c>
      <c r="K2815" s="1342" t="e">
        <f t="shared" si="376"/>
        <v>#DIV/0!</v>
      </c>
    </row>
    <row r="2816" spans="1:11" ht="24.95" customHeight="1">
      <c r="A2816" s="456" t="s">
        <v>5332</v>
      </c>
      <c r="B2816" s="1337" t="s">
        <v>5333</v>
      </c>
      <c r="C2816" s="1338"/>
      <c r="D2816" s="1338"/>
      <c r="E2816" s="1339" t="e">
        <f t="shared" si="373"/>
        <v>#DIV/0!</v>
      </c>
      <c r="F2816" s="1338"/>
      <c r="G2816" s="1338"/>
      <c r="H2816" s="1339" t="e">
        <f t="shared" si="374"/>
        <v>#DIV/0!</v>
      </c>
      <c r="I2816" s="1340">
        <f t="shared" si="377"/>
        <v>0</v>
      </c>
      <c r="J2816" s="1341">
        <f t="shared" si="375"/>
        <v>0</v>
      </c>
      <c r="K2816" s="1342" t="e">
        <f t="shared" si="376"/>
        <v>#DIV/0!</v>
      </c>
    </row>
    <row r="2817" spans="1:11" ht="24.95" customHeight="1">
      <c r="A2817" s="456" t="s">
        <v>5334</v>
      </c>
      <c r="B2817" s="1337" t="s">
        <v>5335</v>
      </c>
      <c r="C2817" s="1338"/>
      <c r="D2817" s="1338"/>
      <c r="E2817" s="1339" t="e">
        <f t="shared" si="373"/>
        <v>#DIV/0!</v>
      </c>
      <c r="F2817" s="1338">
        <v>2</v>
      </c>
      <c r="G2817" s="1338"/>
      <c r="H2817" s="1339">
        <f t="shared" si="374"/>
        <v>0</v>
      </c>
      <c r="I2817" s="1340">
        <f t="shared" si="377"/>
        <v>2</v>
      </c>
      <c r="J2817" s="1341">
        <f t="shared" si="375"/>
        <v>0</v>
      </c>
      <c r="K2817" s="1342">
        <f t="shared" si="376"/>
        <v>0</v>
      </c>
    </row>
    <row r="2818" spans="1:11" ht="24.95" customHeight="1">
      <c r="A2818" s="456" t="s">
        <v>5336</v>
      </c>
      <c r="B2818" s="1337" t="s">
        <v>5337</v>
      </c>
      <c r="C2818" s="1338"/>
      <c r="D2818" s="1338"/>
      <c r="E2818" s="1339" t="e">
        <f t="shared" si="373"/>
        <v>#DIV/0!</v>
      </c>
      <c r="F2818" s="1338">
        <v>2</v>
      </c>
      <c r="G2818" s="1338"/>
      <c r="H2818" s="1339">
        <f t="shared" si="374"/>
        <v>0</v>
      </c>
      <c r="I2818" s="1340">
        <f t="shared" si="377"/>
        <v>2</v>
      </c>
      <c r="J2818" s="1341">
        <f t="shared" si="375"/>
        <v>0</v>
      </c>
      <c r="K2818" s="1342">
        <f t="shared" si="376"/>
        <v>0</v>
      </c>
    </row>
    <row r="2819" spans="1:11" ht="24.95" customHeight="1">
      <c r="A2819" s="456" t="s">
        <v>5338</v>
      </c>
      <c r="B2819" s="1337" t="s">
        <v>5339</v>
      </c>
      <c r="C2819" s="1338"/>
      <c r="D2819" s="1338"/>
      <c r="E2819" s="1339" t="e">
        <f t="shared" si="373"/>
        <v>#DIV/0!</v>
      </c>
      <c r="F2819" s="1338">
        <v>2</v>
      </c>
      <c r="G2819" s="1338"/>
      <c r="H2819" s="1339">
        <f t="shared" si="374"/>
        <v>0</v>
      </c>
      <c r="I2819" s="1340">
        <f t="shared" si="377"/>
        <v>2</v>
      </c>
      <c r="J2819" s="1341">
        <f t="shared" si="375"/>
        <v>0</v>
      </c>
      <c r="K2819" s="1342">
        <f t="shared" si="376"/>
        <v>0</v>
      </c>
    </row>
    <row r="2820" spans="1:11" ht="24.95" customHeight="1">
      <c r="A2820" s="456" t="s">
        <v>5340</v>
      </c>
      <c r="B2820" s="1337" t="s">
        <v>5341</v>
      </c>
      <c r="C2820" s="1338"/>
      <c r="D2820" s="1338"/>
      <c r="E2820" s="1339" t="e">
        <f t="shared" si="373"/>
        <v>#DIV/0!</v>
      </c>
      <c r="F2820" s="1338">
        <v>55</v>
      </c>
      <c r="G2820" s="1338">
        <v>23</v>
      </c>
      <c r="H2820" s="1339">
        <f t="shared" si="374"/>
        <v>0.41818181818181815</v>
      </c>
      <c r="I2820" s="1340">
        <f t="shared" si="377"/>
        <v>55</v>
      </c>
      <c r="J2820" s="1341">
        <f t="shared" si="375"/>
        <v>23</v>
      </c>
      <c r="K2820" s="1342">
        <f t="shared" si="376"/>
        <v>0.41818181818181815</v>
      </c>
    </row>
    <row r="2821" spans="1:11" ht="24.95" customHeight="1">
      <c r="A2821" s="456" t="s">
        <v>5342</v>
      </c>
      <c r="B2821" s="1233" t="s">
        <v>5343</v>
      </c>
      <c r="C2821" s="1338"/>
      <c r="D2821" s="1338"/>
      <c r="E2821" s="1339" t="e">
        <f t="shared" si="373"/>
        <v>#DIV/0!</v>
      </c>
      <c r="F2821" s="1338"/>
      <c r="G2821" s="1338"/>
      <c r="H2821" s="1339" t="e">
        <f t="shared" si="374"/>
        <v>#DIV/0!</v>
      </c>
      <c r="I2821" s="1340">
        <f t="shared" si="377"/>
        <v>0</v>
      </c>
      <c r="J2821" s="1341">
        <f t="shared" si="375"/>
        <v>0</v>
      </c>
      <c r="K2821" s="1342" t="e">
        <f t="shared" si="376"/>
        <v>#DIV/0!</v>
      </c>
    </row>
    <row r="2822" spans="1:11" ht="24.95" customHeight="1">
      <c r="A2822" s="1235" t="s">
        <v>5344</v>
      </c>
      <c r="B2822" s="1233" t="s">
        <v>5345</v>
      </c>
      <c r="C2822" s="1338"/>
      <c r="D2822" s="1338"/>
      <c r="E2822" s="1339" t="e">
        <f t="shared" si="373"/>
        <v>#DIV/0!</v>
      </c>
      <c r="F2822" s="1338"/>
      <c r="G2822" s="1338"/>
      <c r="H2822" s="1339" t="e">
        <f t="shared" si="374"/>
        <v>#DIV/0!</v>
      </c>
      <c r="I2822" s="1340">
        <f t="shared" si="377"/>
        <v>0</v>
      </c>
      <c r="J2822" s="1341">
        <f t="shared" si="375"/>
        <v>0</v>
      </c>
      <c r="K2822" s="1342" t="e">
        <f t="shared" si="376"/>
        <v>#DIV/0!</v>
      </c>
    </row>
    <row r="2823" spans="1:11" ht="24.95" customHeight="1">
      <c r="A2823" s="456" t="s">
        <v>5346</v>
      </c>
      <c r="B2823" s="1337" t="s">
        <v>5347</v>
      </c>
      <c r="C2823" s="1338"/>
      <c r="D2823" s="1338"/>
      <c r="E2823" s="1339" t="e">
        <f t="shared" si="373"/>
        <v>#DIV/0!</v>
      </c>
      <c r="F2823" s="1338">
        <v>12</v>
      </c>
      <c r="G2823" s="1338">
        <v>5</v>
      </c>
      <c r="H2823" s="1339">
        <f t="shared" si="374"/>
        <v>0.41666666666666669</v>
      </c>
      <c r="I2823" s="1340">
        <f t="shared" si="377"/>
        <v>12</v>
      </c>
      <c r="J2823" s="1341">
        <f t="shared" si="375"/>
        <v>5</v>
      </c>
      <c r="K2823" s="1342">
        <f t="shared" si="376"/>
        <v>0.41666666666666669</v>
      </c>
    </row>
    <row r="2824" spans="1:11" ht="24.95" customHeight="1">
      <c r="A2824" s="456" t="s">
        <v>5348</v>
      </c>
      <c r="B2824" s="1337" t="s">
        <v>5349</v>
      </c>
      <c r="C2824" s="1338"/>
      <c r="D2824" s="1338"/>
      <c r="E2824" s="1339" t="e">
        <f t="shared" si="373"/>
        <v>#DIV/0!</v>
      </c>
      <c r="F2824" s="1338">
        <v>1</v>
      </c>
      <c r="G2824" s="1338"/>
      <c r="H2824" s="1339">
        <f t="shared" si="374"/>
        <v>0</v>
      </c>
      <c r="I2824" s="1340">
        <f t="shared" si="377"/>
        <v>1</v>
      </c>
      <c r="J2824" s="1341">
        <f t="shared" si="375"/>
        <v>0</v>
      </c>
      <c r="K2824" s="1342">
        <f t="shared" si="376"/>
        <v>0</v>
      </c>
    </row>
    <row r="2825" spans="1:11" ht="24.95" customHeight="1">
      <c r="A2825" s="456" t="s">
        <v>5350</v>
      </c>
      <c r="B2825" s="1337" t="s">
        <v>5351</v>
      </c>
      <c r="C2825" s="1338"/>
      <c r="D2825" s="1338"/>
      <c r="E2825" s="1339" t="e">
        <f t="shared" si="373"/>
        <v>#DIV/0!</v>
      </c>
      <c r="F2825" s="1338">
        <v>5</v>
      </c>
      <c r="G2825" s="1338"/>
      <c r="H2825" s="1339">
        <f t="shared" si="374"/>
        <v>0</v>
      </c>
      <c r="I2825" s="1340">
        <f t="shared" si="377"/>
        <v>5</v>
      </c>
      <c r="J2825" s="1341">
        <f t="shared" si="375"/>
        <v>0</v>
      </c>
      <c r="K2825" s="1342">
        <f t="shared" si="376"/>
        <v>0</v>
      </c>
    </row>
    <row r="2826" spans="1:11" ht="24.95" customHeight="1">
      <c r="A2826" s="456" t="s">
        <v>5352</v>
      </c>
      <c r="B2826" s="1337" t="s">
        <v>5353</v>
      </c>
      <c r="C2826" s="1338"/>
      <c r="D2826" s="1338"/>
      <c r="E2826" s="1339" t="e">
        <f t="shared" si="373"/>
        <v>#DIV/0!</v>
      </c>
      <c r="F2826" s="1338">
        <v>3</v>
      </c>
      <c r="G2826" s="1338"/>
      <c r="H2826" s="1339">
        <f t="shared" si="374"/>
        <v>0</v>
      </c>
      <c r="I2826" s="1340">
        <f t="shared" si="377"/>
        <v>3</v>
      </c>
      <c r="J2826" s="1341">
        <f t="shared" si="375"/>
        <v>0</v>
      </c>
      <c r="K2826" s="1342">
        <f t="shared" si="376"/>
        <v>0</v>
      </c>
    </row>
    <row r="2827" spans="1:11" ht="24.95" customHeight="1">
      <c r="A2827" s="456" t="s">
        <v>5354</v>
      </c>
      <c r="B2827" s="1337" t="s">
        <v>5355</v>
      </c>
      <c r="C2827" s="1338"/>
      <c r="D2827" s="1338"/>
      <c r="E2827" s="1339" t="e">
        <f t="shared" si="373"/>
        <v>#DIV/0!</v>
      </c>
      <c r="F2827" s="1338">
        <v>2</v>
      </c>
      <c r="G2827" s="1338"/>
      <c r="H2827" s="1339">
        <f t="shared" si="374"/>
        <v>0</v>
      </c>
      <c r="I2827" s="1340">
        <f t="shared" si="377"/>
        <v>2</v>
      </c>
      <c r="J2827" s="1341">
        <f t="shared" si="375"/>
        <v>0</v>
      </c>
      <c r="K2827" s="1342">
        <f t="shared" si="376"/>
        <v>0</v>
      </c>
    </row>
    <row r="2828" spans="1:11" ht="24.95" customHeight="1">
      <c r="A2828" s="456" t="s">
        <v>5356</v>
      </c>
      <c r="B2828" s="1337" t="s">
        <v>5357</v>
      </c>
      <c r="C2828" s="1338"/>
      <c r="D2828" s="1338"/>
      <c r="E2828" s="1339" t="e">
        <f t="shared" si="373"/>
        <v>#DIV/0!</v>
      </c>
      <c r="F2828" s="1338">
        <v>2</v>
      </c>
      <c r="G2828" s="1338">
        <v>1</v>
      </c>
      <c r="H2828" s="1339">
        <f t="shared" si="374"/>
        <v>0.5</v>
      </c>
      <c r="I2828" s="1340">
        <f t="shared" si="377"/>
        <v>2</v>
      </c>
      <c r="J2828" s="1341">
        <f t="shared" si="375"/>
        <v>1</v>
      </c>
      <c r="K2828" s="1342">
        <f t="shared" si="376"/>
        <v>0.5</v>
      </c>
    </row>
    <row r="2829" spans="1:11" ht="24.95" customHeight="1">
      <c r="A2829" s="456" t="s">
        <v>5358</v>
      </c>
      <c r="B2829" s="1337" t="s">
        <v>5359</v>
      </c>
      <c r="C2829" s="1338"/>
      <c r="D2829" s="1338"/>
      <c r="E2829" s="1339" t="e">
        <f t="shared" si="373"/>
        <v>#DIV/0!</v>
      </c>
      <c r="F2829" s="1338">
        <v>3</v>
      </c>
      <c r="G2829" s="1338"/>
      <c r="H2829" s="1339">
        <f t="shared" si="374"/>
        <v>0</v>
      </c>
      <c r="I2829" s="1340">
        <f t="shared" si="377"/>
        <v>3</v>
      </c>
      <c r="J2829" s="1341">
        <f t="shared" si="375"/>
        <v>0</v>
      </c>
      <c r="K2829" s="1342">
        <f t="shared" si="376"/>
        <v>0</v>
      </c>
    </row>
    <row r="2830" spans="1:11" ht="24.95" customHeight="1">
      <c r="A2830" s="456" t="s">
        <v>5360</v>
      </c>
      <c r="B2830" s="1337" t="s">
        <v>5361</v>
      </c>
      <c r="C2830" s="1338"/>
      <c r="D2830" s="1338"/>
      <c r="E2830" s="1339" t="e">
        <f t="shared" si="373"/>
        <v>#DIV/0!</v>
      </c>
      <c r="F2830" s="1338">
        <v>2</v>
      </c>
      <c r="G2830" s="1338"/>
      <c r="H2830" s="1339">
        <f t="shared" si="374"/>
        <v>0</v>
      </c>
      <c r="I2830" s="1340">
        <f t="shared" si="377"/>
        <v>2</v>
      </c>
      <c r="J2830" s="1341">
        <f t="shared" si="375"/>
        <v>0</v>
      </c>
      <c r="K2830" s="1342">
        <f t="shared" si="376"/>
        <v>0</v>
      </c>
    </row>
    <row r="2831" spans="1:11" ht="24.95" customHeight="1">
      <c r="A2831" s="456" t="s">
        <v>5362</v>
      </c>
      <c r="B2831" s="1233" t="s">
        <v>5363</v>
      </c>
      <c r="C2831" s="1338"/>
      <c r="D2831" s="1338"/>
      <c r="E2831" s="1339" t="e">
        <f t="shared" si="373"/>
        <v>#DIV/0!</v>
      </c>
      <c r="F2831" s="1338"/>
      <c r="G2831" s="1338"/>
      <c r="H2831" s="1339" t="e">
        <f t="shared" si="374"/>
        <v>#DIV/0!</v>
      </c>
      <c r="I2831" s="1340">
        <f t="shared" si="377"/>
        <v>0</v>
      </c>
      <c r="J2831" s="1341">
        <f t="shared" si="375"/>
        <v>0</v>
      </c>
      <c r="K2831" s="1342" t="e">
        <f t="shared" si="376"/>
        <v>#DIV/0!</v>
      </c>
    </row>
    <row r="2832" spans="1:11" ht="24.95" customHeight="1">
      <c r="A2832" s="456" t="s">
        <v>5364</v>
      </c>
      <c r="B2832" s="1233" t="s">
        <v>5365</v>
      </c>
      <c r="C2832" s="1338"/>
      <c r="D2832" s="1338"/>
      <c r="E2832" s="1339" t="e">
        <f t="shared" si="373"/>
        <v>#DIV/0!</v>
      </c>
      <c r="F2832" s="1338">
        <v>1</v>
      </c>
      <c r="G2832" s="1338"/>
      <c r="H2832" s="1339">
        <f t="shared" si="374"/>
        <v>0</v>
      </c>
      <c r="I2832" s="1340">
        <f t="shared" si="377"/>
        <v>1</v>
      </c>
      <c r="J2832" s="1341">
        <f t="shared" si="375"/>
        <v>0</v>
      </c>
      <c r="K2832" s="1342">
        <f t="shared" si="376"/>
        <v>0</v>
      </c>
    </row>
    <row r="2833" spans="1:11" ht="24.95" customHeight="1">
      <c r="A2833" s="456" t="s">
        <v>5366</v>
      </c>
      <c r="B2833" s="1233" t="s">
        <v>5367</v>
      </c>
      <c r="C2833" s="1338"/>
      <c r="D2833" s="1338"/>
      <c r="E2833" s="1339" t="e">
        <f t="shared" si="373"/>
        <v>#DIV/0!</v>
      </c>
      <c r="F2833" s="1338">
        <v>2</v>
      </c>
      <c r="G2833" s="1338"/>
      <c r="H2833" s="1339">
        <f t="shared" si="374"/>
        <v>0</v>
      </c>
      <c r="I2833" s="1340">
        <f t="shared" si="377"/>
        <v>2</v>
      </c>
      <c r="J2833" s="1341">
        <f t="shared" si="375"/>
        <v>0</v>
      </c>
      <c r="K2833" s="1342">
        <f t="shared" si="376"/>
        <v>0</v>
      </c>
    </row>
    <row r="2834" spans="1:11" ht="24.95" customHeight="1">
      <c r="A2834" s="456" t="s">
        <v>5368</v>
      </c>
      <c r="B2834" s="1233" t="s">
        <v>5369</v>
      </c>
      <c r="C2834" s="1338"/>
      <c r="D2834" s="1338"/>
      <c r="E2834" s="1339" t="e">
        <f t="shared" si="373"/>
        <v>#DIV/0!</v>
      </c>
      <c r="F2834" s="1338">
        <v>2</v>
      </c>
      <c r="G2834" s="1338"/>
      <c r="H2834" s="1339">
        <f t="shared" si="374"/>
        <v>0</v>
      </c>
      <c r="I2834" s="1340">
        <f t="shared" si="377"/>
        <v>2</v>
      </c>
      <c r="J2834" s="1341">
        <f t="shared" si="375"/>
        <v>0</v>
      </c>
      <c r="K2834" s="1342">
        <f t="shared" si="376"/>
        <v>0</v>
      </c>
    </row>
    <row r="2835" spans="1:11" ht="24.95" customHeight="1">
      <c r="A2835" s="456" t="s">
        <v>5370</v>
      </c>
      <c r="B2835" s="1233" t="s">
        <v>5371</v>
      </c>
      <c r="C2835" s="1338"/>
      <c r="D2835" s="1338"/>
      <c r="E2835" s="1339" t="e">
        <f t="shared" si="373"/>
        <v>#DIV/0!</v>
      </c>
      <c r="F2835" s="1338">
        <v>2</v>
      </c>
      <c r="G2835" s="1338"/>
      <c r="H2835" s="1339">
        <f t="shared" si="374"/>
        <v>0</v>
      </c>
      <c r="I2835" s="1340">
        <f t="shared" si="377"/>
        <v>2</v>
      </c>
      <c r="J2835" s="1341">
        <f t="shared" si="375"/>
        <v>0</v>
      </c>
      <c r="K2835" s="1342">
        <f t="shared" si="376"/>
        <v>0</v>
      </c>
    </row>
    <row r="2836" spans="1:11" ht="24.95" customHeight="1">
      <c r="A2836" s="1235" t="s">
        <v>5372</v>
      </c>
      <c r="B2836" s="1236" t="s">
        <v>5373</v>
      </c>
      <c r="C2836" s="1338"/>
      <c r="D2836" s="1338"/>
      <c r="E2836" s="1339" t="e">
        <f t="shared" si="373"/>
        <v>#DIV/0!</v>
      </c>
      <c r="F2836" s="1338"/>
      <c r="G2836" s="1338"/>
      <c r="H2836" s="1339" t="e">
        <f t="shared" si="374"/>
        <v>#DIV/0!</v>
      </c>
      <c r="I2836" s="1340">
        <f t="shared" si="377"/>
        <v>0</v>
      </c>
      <c r="J2836" s="1341">
        <f t="shared" si="375"/>
        <v>0</v>
      </c>
      <c r="K2836" s="1342" t="e">
        <f t="shared" si="376"/>
        <v>#DIV/0!</v>
      </c>
    </row>
    <row r="2837" spans="1:11" ht="24.95" customHeight="1">
      <c r="A2837" s="456" t="s">
        <v>5374</v>
      </c>
      <c r="B2837" s="1337" t="s">
        <v>5375</v>
      </c>
      <c r="C2837" s="1338"/>
      <c r="D2837" s="1338"/>
      <c r="E2837" s="1339" t="e">
        <f t="shared" si="373"/>
        <v>#DIV/0!</v>
      </c>
      <c r="F2837" s="1338"/>
      <c r="G2837" s="1338"/>
      <c r="H2837" s="1339" t="e">
        <f t="shared" si="374"/>
        <v>#DIV/0!</v>
      </c>
      <c r="I2837" s="1340">
        <f t="shared" si="377"/>
        <v>0</v>
      </c>
      <c r="J2837" s="1341">
        <f t="shared" si="375"/>
        <v>0</v>
      </c>
      <c r="K2837" s="1342" t="e">
        <f t="shared" si="376"/>
        <v>#DIV/0!</v>
      </c>
    </row>
    <row r="2838" spans="1:11" ht="24.95" customHeight="1">
      <c r="A2838" s="456" t="s">
        <v>5376</v>
      </c>
      <c r="B2838" s="1337" t="s">
        <v>5377</v>
      </c>
      <c r="C2838" s="1338"/>
      <c r="D2838" s="1338"/>
      <c r="E2838" s="1339" t="e">
        <f t="shared" si="373"/>
        <v>#DIV/0!</v>
      </c>
      <c r="F2838" s="1338">
        <v>10</v>
      </c>
      <c r="G2838" s="1338">
        <v>4</v>
      </c>
      <c r="H2838" s="1339">
        <f t="shared" si="374"/>
        <v>0.4</v>
      </c>
      <c r="I2838" s="1340">
        <f t="shared" si="377"/>
        <v>10</v>
      </c>
      <c r="J2838" s="1341">
        <f t="shared" si="375"/>
        <v>4</v>
      </c>
      <c r="K2838" s="1342">
        <f t="shared" si="376"/>
        <v>0.4</v>
      </c>
    </row>
    <row r="2839" spans="1:11" ht="24.95" customHeight="1">
      <c r="A2839" s="456" t="s">
        <v>5378</v>
      </c>
      <c r="B2839" s="1337" t="s">
        <v>5379</v>
      </c>
      <c r="C2839" s="1338"/>
      <c r="D2839" s="1338"/>
      <c r="E2839" s="1339" t="e">
        <f t="shared" si="373"/>
        <v>#DIV/0!</v>
      </c>
      <c r="F2839" s="1338">
        <v>5</v>
      </c>
      <c r="G2839" s="1338">
        <v>3</v>
      </c>
      <c r="H2839" s="1339">
        <f t="shared" si="374"/>
        <v>0.6</v>
      </c>
      <c r="I2839" s="1340">
        <f t="shared" si="377"/>
        <v>5</v>
      </c>
      <c r="J2839" s="1341">
        <f t="shared" si="375"/>
        <v>3</v>
      </c>
      <c r="K2839" s="1342">
        <f t="shared" si="376"/>
        <v>0.6</v>
      </c>
    </row>
    <row r="2840" spans="1:11" ht="24.95" customHeight="1">
      <c r="A2840" s="456" t="s">
        <v>5380</v>
      </c>
      <c r="B2840" s="1337" t="s">
        <v>5381</v>
      </c>
      <c r="C2840" s="1338"/>
      <c r="D2840" s="1338"/>
      <c r="E2840" s="1339" t="e">
        <f t="shared" si="373"/>
        <v>#DIV/0!</v>
      </c>
      <c r="F2840" s="1338">
        <v>5</v>
      </c>
      <c r="G2840" s="1338">
        <v>2</v>
      </c>
      <c r="H2840" s="1339">
        <f t="shared" si="374"/>
        <v>0.4</v>
      </c>
      <c r="I2840" s="1340">
        <f t="shared" si="377"/>
        <v>5</v>
      </c>
      <c r="J2840" s="1341">
        <f t="shared" si="375"/>
        <v>2</v>
      </c>
      <c r="K2840" s="1342">
        <f t="shared" si="376"/>
        <v>0.4</v>
      </c>
    </row>
    <row r="2841" spans="1:11" ht="24.95" customHeight="1">
      <c r="A2841" s="456" t="s">
        <v>5382</v>
      </c>
      <c r="B2841" s="1337" t="s">
        <v>5383</v>
      </c>
      <c r="C2841" s="1338"/>
      <c r="D2841" s="1338"/>
      <c r="E2841" s="1339" t="e">
        <f t="shared" si="373"/>
        <v>#DIV/0!</v>
      </c>
      <c r="F2841" s="1338">
        <v>1</v>
      </c>
      <c r="G2841" s="1338"/>
      <c r="H2841" s="1339">
        <f t="shared" si="374"/>
        <v>0</v>
      </c>
      <c r="I2841" s="1340">
        <f t="shared" si="377"/>
        <v>1</v>
      </c>
      <c r="J2841" s="1341">
        <f t="shared" si="375"/>
        <v>0</v>
      </c>
      <c r="K2841" s="1342">
        <f t="shared" si="376"/>
        <v>0</v>
      </c>
    </row>
    <row r="2842" spans="1:11" ht="24.95" customHeight="1">
      <c r="A2842" s="456" t="s">
        <v>5384</v>
      </c>
      <c r="B2842" s="1236" t="s">
        <v>1362</v>
      </c>
      <c r="C2842" s="1338"/>
      <c r="D2842" s="1338"/>
      <c r="E2842" s="1339" t="e">
        <f t="shared" si="373"/>
        <v>#DIV/0!</v>
      </c>
      <c r="F2842" s="1338">
        <v>1</v>
      </c>
      <c r="G2842" s="1338">
        <v>1</v>
      </c>
      <c r="H2842" s="1339">
        <f t="shared" si="374"/>
        <v>1</v>
      </c>
      <c r="I2842" s="1340">
        <f t="shared" si="377"/>
        <v>1</v>
      </c>
      <c r="J2842" s="1341">
        <f t="shared" si="375"/>
        <v>1</v>
      </c>
      <c r="K2842" s="1342">
        <f t="shared" si="376"/>
        <v>1</v>
      </c>
    </row>
    <row r="2843" spans="1:11" ht="24.95" customHeight="1">
      <c r="A2843" s="456" t="s">
        <v>5385</v>
      </c>
      <c r="B2843" s="1236" t="s">
        <v>5386</v>
      </c>
      <c r="C2843" s="1338">
        <v>2</v>
      </c>
      <c r="D2843" s="1338"/>
      <c r="E2843" s="1339">
        <f t="shared" si="373"/>
        <v>0</v>
      </c>
      <c r="F2843" s="1338">
        <v>5</v>
      </c>
      <c r="G2843" s="1338"/>
      <c r="H2843" s="1339">
        <f t="shared" si="374"/>
        <v>0</v>
      </c>
      <c r="I2843" s="1340">
        <f t="shared" si="377"/>
        <v>7</v>
      </c>
      <c r="J2843" s="1341">
        <f t="shared" si="375"/>
        <v>0</v>
      </c>
      <c r="K2843" s="1342">
        <f t="shared" si="376"/>
        <v>0</v>
      </c>
    </row>
    <row r="2844" spans="1:11" ht="24.95" customHeight="1">
      <c r="A2844" s="456" t="s">
        <v>5387</v>
      </c>
      <c r="B2844" s="1337" t="s">
        <v>5388</v>
      </c>
      <c r="C2844" s="1338"/>
      <c r="D2844" s="1338"/>
      <c r="E2844" s="1339" t="e">
        <f t="shared" si="373"/>
        <v>#DIV/0!</v>
      </c>
      <c r="F2844" s="1338"/>
      <c r="G2844" s="1338"/>
      <c r="H2844" s="1339" t="e">
        <f t="shared" si="374"/>
        <v>#DIV/0!</v>
      </c>
      <c r="I2844" s="1340">
        <f t="shared" si="377"/>
        <v>0</v>
      </c>
      <c r="J2844" s="1341">
        <f t="shared" si="375"/>
        <v>0</v>
      </c>
      <c r="K2844" s="1342" t="e">
        <f t="shared" si="376"/>
        <v>#DIV/0!</v>
      </c>
    </row>
    <row r="2845" spans="1:11" ht="24.95" customHeight="1">
      <c r="A2845" s="456" t="s">
        <v>5389</v>
      </c>
      <c r="B2845" s="1337" t="s">
        <v>5390</v>
      </c>
      <c r="C2845" s="1338">
        <v>10</v>
      </c>
      <c r="D2845" s="1338">
        <v>3</v>
      </c>
      <c r="E2845" s="1339">
        <f t="shared" si="373"/>
        <v>0.3</v>
      </c>
      <c r="F2845" s="1338">
        <v>5</v>
      </c>
      <c r="G2845" s="1338"/>
      <c r="H2845" s="1339">
        <f t="shared" si="374"/>
        <v>0</v>
      </c>
      <c r="I2845" s="1340">
        <f t="shared" si="377"/>
        <v>15</v>
      </c>
      <c r="J2845" s="1341">
        <f t="shared" si="375"/>
        <v>3</v>
      </c>
      <c r="K2845" s="1342">
        <f t="shared" si="376"/>
        <v>0.2</v>
      </c>
    </row>
    <row r="2846" spans="1:11" ht="24.95" customHeight="1">
      <c r="A2846" s="456" t="s">
        <v>5391</v>
      </c>
      <c r="B2846" s="1233" t="s">
        <v>5392</v>
      </c>
      <c r="C2846" s="1338"/>
      <c r="D2846" s="1338"/>
      <c r="E2846" s="1339" t="e">
        <f t="shared" si="373"/>
        <v>#DIV/0!</v>
      </c>
      <c r="F2846" s="1338">
        <v>5</v>
      </c>
      <c r="G2846" s="1338"/>
      <c r="H2846" s="1339">
        <f t="shared" si="374"/>
        <v>0</v>
      </c>
      <c r="I2846" s="1340">
        <f t="shared" si="377"/>
        <v>5</v>
      </c>
      <c r="J2846" s="1341">
        <f t="shared" si="375"/>
        <v>0</v>
      </c>
      <c r="K2846" s="1342">
        <f t="shared" si="376"/>
        <v>0</v>
      </c>
    </row>
    <row r="2847" spans="1:11" ht="24.95" customHeight="1">
      <c r="A2847" s="1235" t="s">
        <v>5393</v>
      </c>
      <c r="B2847" s="1233" t="s">
        <v>5394</v>
      </c>
      <c r="C2847" s="1338"/>
      <c r="D2847" s="1338"/>
      <c r="E2847" s="1339" t="e">
        <f t="shared" si="373"/>
        <v>#DIV/0!</v>
      </c>
      <c r="F2847" s="1338"/>
      <c r="G2847" s="1338">
        <v>4</v>
      </c>
      <c r="H2847" s="1339" t="e">
        <f t="shared" si="374"/>
        <v>#DIV/0!</v>
      </c>
      <c r="I2847" s="1340">
        <f t="shared" si="377"/>
        <v>0</v>
      </c>
      <c r="J2847" s="1341">
        <f t="shared" si="375"/>
        <v>4</v>
      </c>
      <c r="K2847" s="1342" t="e">
        <f t="shared" si="376"/>
        <v>#DIV/0!</v>
      </c>
    </row>
    <row r="2848" spans="1:11" ht="24.95" customHeight="1">
      <c r="A2848" s="1235" t="s">
        <v>5395</v>
      </c>
      <c r="B2848" s="1233" t="s">
        <v>5396</v>
      </c>
      <c r="C2848" s="1338">
        <v>3</v>
      </c>
      <c r="D2848" s="1338">
        <v>4</v>
      </c>
      <c r="E2848" s="1339">
        <f t="shared" si="373"/>
        <v>1.3333333333333333</v>
      </c>
      <c r="F2848" s="1338">
        <v>30</v>
      </c>
      <c r="G2848" s="1338"/>
      <c r="H2848" s="1339">
        <f t="shared" si="374"/>
        <v>0</v>
      </c>
      <c r="I2848" s="1340">
        <f t="shared" si="377"/>
        <v>33</v>
      </c>
      <c r="J2848" s="1341">
        <f t="shared" si="375"/>
        <v>4</v>
      </c>
      <c r="K2848" s="1342">
        <f t="shared" si="376"/>
        <v>0.12121212121212122</v>
      </c>
    </row>
    <row r="2849" spans="1:11" ht="24.95" customHeight="1">
      <c r="A2849" s="1235" t="s">
        <v>5397</v>
      </c>
      <c r="B2849" s="1233" t="s">
        <v>5398</v>
      </c>
      <c r="C2849" s="1338"/>
      <c r="D2849" s="1338"/>
      <c r="E2849" s="1339" t="e">
        <f t="shared" si="373"/>
        <v>#DIV/0!</v>
      </c>
      <c r="F2849" s="1338">
        <v>2</v>
      </c>
      <c r="G2849" s="1338"/>
      <c r="H2849" s="1339">
        <f t="shared" si="374"/>
        <v>0</v>
      </c>
      <c r="I2849" s="1340">
        <f t="shared" si="377"/>
        <v>2</v>
      </c>
      <c r="J2849" s="1341">
        <f t="shared" si="375"/>
        <v>0</v>
      </c>
      <c r="K2849" s="1342">
        <f t="shared" si="376"/>
        <v>0</v>
      </c>
    </row>
    <row r="2850" spans="1:11" ht="24.95" customHeight="1">
      <c r="A2850" s="1235" t="s">
        <v>5399</v>
      </c>
      <c r="B2850" s="1337" t="s">
        <v>5400</v>
      </c>
      <c r="C2850" s="1338"/>
      <c r="D2850" s="1338"/>
      <c r="E2850" s="1339" t="e">
        <f t="shared" si="373"/>
        <v>#DIV/0!</v>
      </c>
      <c r="F2850" s="1338">
        <v>2</v>
      </c>
      <c r="G2850" s="1338"/>
      <c r="H2850" s="1339">
        <f t="shared" si="374"/>
        <v>0</v>
      </c>
      <c r="I2850" s="1340">
        <f t="shared" si="377"/>
        <v>2</v>
      </c>
      <c r="J2850" s="1341">
        <f t="shared" si="375"/>
        <v>0</v>
      </c>
      <c r="K2850" s="1342">
        <f t="shared" si="376"/>
        <v>0</v>
      </c>
    </row>
    <row r="2851" spans="1:11" ht="24.95" customHeight="1">
      <c r="A2851" s="456" t="s">
        <v>5401</v>
      </c>
      <c r="B2851" s="1337" t="s">
        <v>5402</v>
      </c>
      <c r="C2851" s="1338">
        <v>2</v>
      </c>
      <c r="D2851" s="1338"/>
      <c r="E2851" s="1339">
        <f t="shared" si="373"/>
        <v>0</v>
      </c>
      <c r="F2851" s="1338">
        <v>10</v>
      </c>
      <c r="G2851" s="1338">
        <v>8</v>
      </c>
      <c r="H2851" s="1339">
        <f t="shared" si="374"/>
        <v>0.8</v>
      </c>
      <c r="I2851" s="1340">
        <f t="shared" si="377"/>
        <v>12</v>
      </c>
      <c r="J2851" s="1341">
        <f t="shared" si="375"/>
        <v>8</v>
      </c>
      <c r="K2851" s="1342">
        <f t="shared" si="376"/>
        <v>0.66666666666666663</v>
      </c>
    </row>
    <row r="2852" spans="1:11" ht="24.95" customHeight="1">
      <c r="A2852" s="456" t="s">
        <v>5403</v>
      </c>
      <c r="B2852" s="1337" t="s">
        <v>5404</v>
      </c>
      <c r="C2852" s="1338"/>
      <c r="D2852" s="1338"/>
      <c r="E2852" s="1339" t="e">
        <f t="shared" si="373"/>
        <v>#DIV/0!</v>
      </c>
      <c r="F2852" s="1338">
        <v>4</v>
      </c>
      <c r="G2852" s="1338">
        <v>1</v>
      </c>
      <c r="H2852" s="1339">
        <f t="shared" si="374"/>
        <v>0.25</v>
      </c>
      <c r="I2852" s="1340">
        <f t="shared" si="377"/>
        <v>4</v>
      </c>
      <c r="J2852" s="1341">
        <f t="shared" si="375"/>
        <v>1</v>
      </c>
      <c r="K2852" s="1342">
        <f t="shared" si="376"/>
        <v>0.25</v>
      </c>
    </row>
    <row r="2853" spans="1:11" ht="24.95" customHeight="1">
      <c r="A2853" s="456" t="s">
        <v>5405</v>
      </c>
      <c r="B2853" s="1337" t="s">
        <v>5406</v>
      </c>
      <c r="C2853" s="1338">
        <v>2</v>
      </c>
      <c r="D2853" s="1338"/>
      <c r="E2853" s="1339">
        <f t="shared" si="373"/>
        <v>0</v>
      </c>
      <c r="F2853" s="1338">
        <v>30</v>
      </c>
      <c r="G2853" s="1338">
        <v>13</v>
      </c>
      <c r="H2853" s="1339">
        <f t="shared" si="374"/>
        <v>0.43333333333333335</v>
      </c>
      <c r="I2853" s="1340">
        <f t="shared" si="377"/>
        <v>32</v>
      </c>
      <c r="J2853" s="1341">
        <f t="shared" si="375"/>
        <v>13</v>
      </c>
      <c r="K2853" s="1342">
        <f t="shared" si="376"/>
        <v>0.40625</v>
      </c>
    </row>
    <row r="2854" spans="1:11" ht="24.95" customHeight="1">
      <c r="A2854" s="456" t="s">
        <v>5407</v>
      </c>
      <c r="B2854" s="1337" t="s">
        <v>5408</v>
      </c>
      <c r="C2854" s="1338"/>
      <c r="D2854" s="1338"/>
      <c r="E2854" s="1339" t="e">
        <f t="shared" si="373"/>
        <v>#DIV/0!</v>
      </c>
      <c r="F2854" s="1338">
        <v>25</v>
      </c>
      <c r="G2854" s="1338">
        <v>14</v>
      </c>
      <c r="H2854" s="1339">
        <f t="shared" si="374"/>
        <v>0.56000000000000005</v>
      </c>
      <c r="I2854" s="1340">
        <f t="shared" si="377"/>
        <v>25</v>
      </c>
      <c r="J2854" s="1341">
        <f t="shared" si="375"/>
        <v>14</v>
      </c>
      <c r="K2854" s="1342">
        <f t="shared" si="376"/>
        <v>0.56000000000000005</v>
      </c>
    </row>
    <row r="2855" spans="1:11" ht="24.95" customHeight="1">
      <c r="A2855" s="456" t="s">
        <v>5409</v>
      </c>
      <c r="B2855" s="1337" t="s">
        <v>5404</v>
      </c>
      <c r="C2855" s="1338"/>
      <c r="D2855" s="1338"/>
      <c r="E2855" s="1339" t="e">
        <f t="shared" si="373"/>
        <v>#DIV/0!</v>
      </c>
      <c r="F2855" s="1338">
        <v>5</v>
      </c>
      <c r="G2855" s="1338">
        <v>2</v>
      </c>
      <c r="H2855" s="1339">
        <f t="shared" si="374"/>
        <v>0.4</v>
      </c>
      <c r="I2855" s="1340">
        <f t="shared" si="377"/>
        <v>5</v>
      </c>
      <c r="J2855" s="1341">
        <f t="shared" si="375"/>
        <v>2</v>
      </c>
      <c r="K2855" s="1342">
        <f t="shared" si="376"/>
        <v>0.4</v>
      </c>
    </row>
    <row r="2856" spans="1:11" ht="24.95" customHeight="1">
      <c r="A2856" s="456" t="s">
        <v>5410</v>
      </c>
      <c r="B2856" s="1337" t="s">
        <v>5411</v>
      </c>
      <c r="C2856" s="1338">
        <v>30</v>
      </c>
      <c r="D2856" s="1338">
        <v>23</v>
      </c>
      <c r="E2856" s="1339">
        <f t="shared" si="373"/>
        <v>0.76666666666666672</v>
      </c>
      <c r="F2856" s="1338">
        <v>10</v>
      </c>
      <c r="G2856" s="1338">
        <v>5</v>
      </c>
      <c r="H2856" s="1339">
        <f t="shared" si="374"/>
        <v>0.5</v>
      </c>
      <c r="I2856" s="1340">
        <f t="shared" si="377"/>
        <v>40</v>
      </c>
      <c r="J2856" s="1341">
        <f t="shared" si="375"/>
        <v>28</v>
      </c>
      <c r="K2856" s="1342">
        <f t="shared" si="376"/>
        <v>0.7</v>
      </c>
    </row>
    <row r="2857" spans="1:11" ht="24.95" customHeight="1">
      <c r="A2857" s="456" t="s">
        <v>5412</v>
      </c>
      <c r="B2857" s="1337" t="s">
        <v>5413</v>
      </c>
      <c r="C2857" s="1338"/>
      <c r="D2857" s="1338"/>
      <c r="E2857" s="1339" t="e">
        <f t="shared" si="373"/>
        <v>#DIV/0!</v>
      </c>
      <c r="F2857" s="1338">
        <v>3</v>
      </c>
      <c r="G2857" s="1338">
        <v>1</v>
      </c>
      <c r="H2857" s="1339">
        <f t="shared" si="374"/>
        <v>0.33333333333333331</v>
      </c>
      <c r="I2857" s="1340">
        <f t="shared" si="377"/>
        <v>3</v>
      </c>
      <c r="J2857" s="1341">
        <f t="shared" si="375"/>
        <v>1</v>
      </c>
      <c r="K2857" s="1342">
        <f t="shared" si="376"/>
        <v>0.33333333333333331</v>
      </c>
    </row>
    <row r="2858" spans="1:11" ht="24.95" customHeight="1">
      <c r="A2858" s="456" t="s">
        <v>5414</v>
      </c>
      <c r="B2858" s="1337" t="s">
        <v>5415</v>
      </c>
      <c r="C2858" s="1338"/>
      <c r="D2858" s="1338"/>
      <c r="E2858" s="1339" t="e">
        <f t="shared" si="373"/>
        <v>#DIV/0!</v>
      </c>
      <c r="F2858" s="1338">
        <v>5</v>
      </c>
      <c r="G2858" s="1338"/>
      <c r="H2858" s="1339">
        <f t="shared" si="374"/>
        <v>0</v>
      </c>
      <c r="I2858" s="1340">
        <f t="shared" si="377"/>
        <v>5</v>
      </c>
      <c r="J2858" s="1341">
        <f t="shared" si="375"/>
        <v>0</v>
      </c>
      <c r="K2858" s="1342">
        <f t="shared" si="376"/>
        <v>0</v>
      </c>
    </row>
    <row r="2859" spans="1:11" ht="24.95" customHeight="1">
      <c r="A2859" s="456" t="s">
        <v>5416</v>
      </c>
      <c r="B2859" s="1337" t="s">
        <v>5417</v>
      </c>
      <c r="C2859" s="1338"/>
      <c r="D2859" s="1338"/>
      <c r="E2859" s="1339" t="e">
        <f t="shared" si="373"/>
        <v>#DIV/0!</v>
      </c>
      <c r="F2859" s="1338">
        <v>10</v>
      </c>
      <c r="G2859" s="1338">
        <v>7</v>
      </c>
      <c r="H2859" s="1339">
        <f t="shared" si="374"/>
        <v>0.7</v>
      </c>
      <c r="I2859" s="1340">
        <f t="shared" si="377"/>
        <v>10</v>
      </c>
      <c r="J2859" s="1341">
        <f t="shared" si="375"/>
        <v>7</v>
      </c>
      <c r="K2859" s="1342">
        <f t="shared" si="376"/>
        <v>0.7</v>
      </c>
    </row>
    <row r="2860" spans="1:11" ht="24.95" customHeight="1">
      <c r="A2860" s="456" t="s">
        <v>5418</v>
      </c>
      <c r="B2860" s="1337" t="s">
        <v>5419</v>
      </c>
      <c r="C2860" s="1338"/>
      <c r="D2860" s="1338"/>
      <c r="E2860" s="1339" t="e">
        <f t="shared" si="373"/>
        <v>#DIV/0!</v>
      </c>
      <c r="F2860" s="1338">
        <v>5</v>
      </c>
      <c r="G2860" s="1338"/>
      <c r="H2860" s="1339">
        <f t="shared" si="374"/>
        <v>0</v>
      </c>
      <c r="I2860" s="1340">
        <f t="shared" si="377"/>
        <v>5</v>
      </c>
      <c r="J2860" s="1341">
        <f t="shared" si="375"/>
        <v>0</v>
      </c>
      <c r="K2860" s="1342">
        <f t="shared" si="376"/>
        <v>0</v>
      </c>
    </row>
    <row r="2861" spans="1:11" ht="24.95" customHeight="1">
      <c r="A2861" s="456" t="s">
        <v>5420</v>
      </c>
      <c r="B2861" s="1337" t="s">
        <v>5421</v>
      </c>
      <c r="C2861" s="1338"/>
      <c r="D2861" s="1338"/>
      <c r="E2861" s="1339" t="e">
        <f t="shared" ref="E2861:E2906" si="378">+D2861/C2861</f>
        <v>#DIV/0!</v>
      </c>
      <c r="F2861" s="1338">
        <v>2</v>
      </c>
      <c r="G2861" s="1338">
        <v>2</v>
      </c>
      <c r="H2861" s="1339">
        <f t="shared" ref="H2861:H2906" si="379">+G2861/F2861</f>
        <v>1</v>
      </c>
      <c r="I2861" s="1340">
        <f t="shared" si="377"/>
        <v>2</v>
      </c>
      <c r="J2861" s="1341">
        <f t="shared" si="377"/>
        <v>2</v>
      </c>
      <c r="K2861" s="1342">
        <f t="shared" ref="K2861:K2906" si="380">+J2861/I2861</f>
        <v>1</v>
      </c>
    </row>
    <row r="2862" spans="1:11" ht="24.95" customHeight="1">
      <c r="A2862" s="456" t="s">
        <v>5422</v>
      </c>
      <c r="B2862" s="1337" t="s">
        <v>5423</v>
      </c>
      <c r="C2862" s="1338"/>
      <c r="D2862" s="1338"/>
      <c r="E2862" s="1339" t="e">
        <f t="shared" si="378"/>
        <v>#DIV/0!</v>
      </c>
      <c r="F2862" s="1338">
        <v>2</v>
      </c>
      <c r="G2862" s="1338">
        <v>2</v>
      </c>
      <c r="H2862" s="1339">
        <f t="shared" si="379"/>
        <v>1</v>
      </c>
      <c r="I2862" s="1340">
        <f t="shared" ref="I2862:J2893" si="381">+C2862+F2862</f>
        <v>2</v>
      </c>
      <c r="J2862" s="1341">
        <f t="shared" si="381"/>
        <v>2</v>
      </c>
      <c r="K2862" s="1342">
        <f t="shared" si="380"/>
        <v>1</v>
      </c>
    </row>
    <row r="2863" spans="1:11" ht="24.95" customHeight="1">
      <c r="A2863" s="456" t="s">
        <v>5424</v>
      </c>
      <c r="B2863" s="1337" t="s">
        <v>5425</v>
      </c>
      <c r="C2863" s="1338"/>
      <c r="D2863" s="1338"/>
      <c r="E2863" s="1339" t="e">
        <f t="shared" si="378"/>
        <v>#DIV/0!</v>
      </c>
      <c r="F2863" s="1338">
        <v>3</v>
      </c>
      <c r="G2863" s="1338"/>
      <c r="H2863" s="1339">
        <f t="shared" si="379"/>
        <v>0</v>
      </c>
      <c r="I2863" s="1340">
        <f t="shared" si="381"/>
        <v>3</v>
      </c>
      <c r="J2863" s="1341">
        <f t="shared" si="381"/>
        <v>0</v>
      </c>
      <c r="K2863" s="1342">
        <f t="shared" si="380"/>
        <v>0</v>
      </c>
    </row>
    <row r="2864" spans="1:11" ht="24.95" customHeight="1">
      <c r="A2864" s="456" t="s">
        <v>5426</v>
      </c>
      <c r="B2864" s="1337" t="s">
        <v>5427</v>
      </c>
      <c r="C2864" s="1338"/>
      <c r="D2864" s="1338"/>
      <c r="E2864" s="1339" t="e">
        <f t="shared" si="378"/>
        <v>#DIV/0!</v>
      </c>
      <c r="F2864" s="1338">
        <v>5</v>
      </c>
      <c r="G2864" s="1338">
        <v>1</v>
      </c>
      <c r="H2864" s="1339">
        <f t="shared" si="379"/>
        <v>0.2</v>
      </c>
      <c r="I2864" s="1340">
        <f t="shared" si="381"/>
        <v>5</v>
      </c>
      <c r="J2864" s="1341">
        <f t="shared" si="381"/>
        <v>1</v>
      </c>
      <c r="K2864" s="1342">
        <f t="shared" si="380"/>
        <v>0.2</v>
      </c>
    </row>
    <row r="2865" spans="1:11" ht="24.95" customHeight="1">
      <c r="A2865" s="456" t="s">
        <v>5428</v>
      </c>
      <c r="B2865" s="1337" t="s">
        <v>5429</v>
      </c>
      <c r="C2865" s="1338"/>
      <c r="D2865" s="1338"/>
      <c r="E2865" s="1339" t="e">
        <f t="shared" si="378"/>
        <v>#DIV/0!</v>
      </c>
      <c r="F2865" s="1338">
        <v>1</v>
      </c>
      <c r="G2865" s="1338"/>
      <c r="H2865" s="1339">
        <f t="shared" si="379"/>
        <v>0</v>
      </c>
      <c r="I2865" s="1340">
        <f t="shared" si="381"/>
        <v>1</v>
      </c>
      <c r="J2865" s="1341">
        <f t="shared" si="381"/>
        <v>0</v>
      </c>
      <c r="K2865" s="1342">
        <f t="shared" si="380"/>
        <v>0</v>
      </c>
    </row>
    <row r="2866" spans="1:11" ht="24.95" customHeight="1">
      <c r="A2866" s="456" t="s">
        <v>5430</v>
      </c>
      <c r="B2866" s="1337" t="s">
        <v>5431</v>
      </c>
      <c r="C2866" s="1338"/>
      <c r="D2866" s="1338"/>
      <c r="E2866" s="1339" t="e">
        <f t="shared" si="378"/>
        <v>#DIV/0!</v>
      </c>
      <c r="F2866" s="1338">
        <v>2</v>
      </c>
      <c r="G2866" s="1338"/>
      <c r="H2866" s="1339">
        <f t="shared" si="379"/>
        <v>0</v>
      </c>
      <c r="I2866" s="1340">
        <f t="shared" si="381"/>
        <v>2</v>
      </c>
      <c r="J2866" s="1341">
        <f t="shared" si="381"/>
        <v>0</v>
      </c>
      <c r="K2866" s="1342">
        <f t="shared" si="380"/>
        <v>0</v>
      </c>
    </row>
    <row r="2867" spans="1:11" ht="24.95" customHeight="1">
      <c r="A2867" s="456" t="s">
        <v>5432</v>
      </c>
      <c r="B2867" s="1337" t="s">
        <v>5433</v>
      </c>
      <c r="C2867" s="1338"/>
      <c r="D2867" s="1338"/>
      <c r="E2867" s="1339" t="e">
        <f t="shared" si="378"/>
        <v>#DIV/0!</v>
      </c>
      <c r="F2867" s="1338">
        <v>1</v>
      </c>
      <c r="G2867" s="1338">
        <v>1</v>
      </c>
      <c r="H2867" s="1339">
        <f t="shared" si="379"/>
        <v>1</v>
      </c>
      <c r="I2867" s="1340">
        <f t="shared" si="381"/>
        <v>1</v>
      </c>
      <c r="J2867" s="1341">
        <f t="shared" si="381"/>
        <v>1</v>
      </c>
      <c r="K2867" s="1342">
        <f t="shared" si="380"/>
        <v>1</v>
      </c>
    </row>
    <row r="2868" spans="1:11" ht="24.95" customHeight="1">
      <c r="A2868" s="456" t="s">
        <v>5434</v>
      </c>
      <c r="B2868" s="1337" t="s">
        <v>5435</v>
      </c>
      <c r="C2868" s="1338"/>
      <c r="D2868" s="1338"/>
      <c r="E2868" s="1339" t="e">
        <f t="shared" si="378"/>
        <v>#DIV/0!</v>
      </c>
      <c r="F2868" s="1338">
        <v>1</v>
      </c>
      <c r="G2868" s="1338"/>
      <c r="H2868" s="1339">
        <f t="shared" si="379"/>
        <v>0</v>
      </c>
      <c r="I2868" s="1340">
        <f t="shared" si="381"/>
        <v>1</v>
      </c>
      <c r="J2868" s="1341">
        <f t="shared" si="381"/>
        <v>0</v>
      </c>
      <c r="K2868" s="1342">
        <f t="shared" si="380"/>
        <v>0</v>
      </c>
    </row>
    <row r="2869" spans="1:11" ht="24.95" customHeight="1">
      <c r="A2869" s="456" t="s">
        <v>5436</v>
      </c>
      <c r="B2869" s="1337" t="s">
        <v>5437</v>
      </c>
      <c r="C2869" s="1338"/>
      <c r="D2869" s="1338"/>
      <c r="E2869" s="1339" t="e">
        <f t="shared" si="378"/>
        <v>#DIV/0!</v>
      </c>
      <c r="F2869" s="1338"/>
      <c r="G2869" s="1338"/>
      <c r="H2869" s="1339" t="e">
        <f t="shared" si="379"/>
        <v>#DIV/0!</v>
      </c>
      <c r="I2869" s="1340">
        <f t="shared" si="381"/>
        <v>0</v>
      </c>
      <c r="J2869" s="1341">
        <f t="shared" si="381"/>
        <v>0</v>
      </c>
      <c r="K2869" s="1342" t="e">
        <f t="shared" si="380"/>
        <v>#DIV/0!</v>
      </c>
    </row>
    <row r="2870" spans="1:11" ht="24.95" customHeight="1">
      <c r="A2870" s="456" t="s">
        <v>5438</v>
      </c>
      <c r="B2870" s="1337" t="s">
        <v>5439</v>
      </c>
      <c r="C2870" s="1338"/>
      <c r="D2870" s="1338"/>
      <c r="E2870" s="1339" t="e">
        <f t="shared" si="378"/>
        <v>#DIV/0!</v>
      </c>
      <c r="F2870" s="1338">
        <v>5</v>
      </c>
      <c r="G2870" s="1338"/>
      <c r="H2870" s="1339">
        <f t="shared" si="379"/>
        <v>0</v>
      </c>
      <c r="I2870" s="1340">
        <f t="shared" si="381"/>
        <v>5</v>
      </c>
      <c r="J2870" s="1341">
        <f t="shared" si="381"/>
        <v>0</v>
      </c>
      <c r="K2870" s="1342">
        <f t="shared" si="380"/>
        <v>0</v>
      </c>
    </row>
    <row r="2871" spans="1:11" ht="24.95" customHeight="1">
      <c r="A2871" s="456" t="s">
        <v>5440</v>
      </c>
      <c r="B2871" s="1337" t="s">
        <v>5441</v>
      </c>
      <c r="C2871" s="1338"/>
      <c r="D2871" s="1338"/>
      <c r="E2871" s="1339" t="e">
        <f t="shared" si="378"/>
        <v>#DIV/0!</v>
      </c>
      <c r="F2871" s="1338">
        <v>15</v>
      </c>
      <c r="G2871" s="1338">
        <v>10</v>
      </c>
      <c r="H2871" s="1339">
        <f t="shared" si="379"/>
        <v>0.66666666666666663</v>
      </c>
      <c r="I2871" s="1340">
        <f t="shared" si="381"/>
        <v>15</v>
      </c>
      <c r="J2871" s="1341">
        <f t="shared" si="381"/>
        <v>10</v>
      </c>
      <c r="K2871" s="1342">
        <f t="shared" si="380"/>
        <v>0.66666666666666663</v>
      </c>
    </row>
    <row r="2872" spans="1:11" ht="24.95" customHeight="1">
      <c r="A2872" s="456" t="s">
        <v>5442</v>
      </c>
      <c r="B2872" s="1337" t="s">
        <v>5443</v>
      </c>
      <c r="C2872" s="1338"/>
      <c r="D2872" s="1338"/>
      <c r="E2872" s="1339" t="e">
        <f t="shared" si="378"/>
        <v>#DIV/0!</v>
      </c>
      <c r="F2872" s="1338">
        <v>125</v>
      </c>
      <c r="G2872" s="1338">
        <v>45</v>
      </c>
      <c r="H2872" s="1339">
        <f t="shared" si="379"/>
        <v>0.36</v>
      </c>
      <c r="I2872" s="1340">
        <f t="shared" si="381"/>
        <v>125</v>
      </c>
      <c r="J2872" s="1341">
        <f t="shared" si="381"/>
        <v>45</v>
      </c>
      <c r="K2872" s="1342">
        <f t="shared" si="380"/>
        <v>0.36</v>
      </c>
    </row>
    <row r="2873" spans="1:11" ht="24.95" customHeight="1">
      <c r="A2873" s="1235" t="s">
        <v>5444</v>
      </c>
      <c r="B2873" s="1233" t="s">
        <v>5445</v>
      </c>
      <c r="C2873" s="1338"/>
      <c r="D2873" s="1338"/>
      <c r="E2873" s="1339" t="e">
        <f t="shared" si="378"/>
        <v>#DIV/0!</v>
      </c>
      <c r="F2873" s="1338">
        <v>5</v>
      </c>
      <c r="G2873" s="1338">
        <v>1</v>
      </c>
      <c r="H2873" s="1339">
        <f t="shared" si="379"/>
        <v>0.2</v>
      </c>
      <c r="I2873" s="1340">
        <f t="shared" si="381"/>
        <v>5</v>
      </c>
      <c r="J2873" s="1341">
        <f t="shared" si="381"/>
        <v>1</v>
      </c>
      <c r="K2873" s="1342">
        <f t="shared" si="380"/>
        <v>0.2</v>
      </c>
    </row>
    <row r="2874" spans="1:11" ht="24.95" customHeight="1">
      <c r="A2874" s="456" t="s">
        <v>5446</v>
      </c>
      <c r="B2874" s="1337" t="s">
        <v>5447</v>
      </c>
      <c r="C2874" s="1338"/>
      <c r="D2874" s="1338"/>
      <c r="E2874" s="1339" t="e">
        <f t="shared" si="378"/>
        <v>#DIV/0!</v>
      </c>
      <c r="F2874" s="1338">
        <v>5</v>
      </c>
      <c r="G2874" s="1338">
        <v>1</v>
      </c>
      <c r="H2874" s="1339">
        <f t="shared" si="379"/>
        <v>0.2</v>
      </c>
      <c r="I2874" s="1340">
        <f t="shared" si="381"/>
        <v>5</v>
      </c>
      <c r="J2874" s="1341">
        <f t="shared" si="381"/>
        <v>1</v>
      </c>
      <c r="K2874" s="1342">
        <f t="shared" si="380"/>
        <v>0.2</v>
      </c>
    </row>
    <row r="2875" spans="1:11" ht="24.95" customHeight="1">
      <c r="A2875" s="456" t="s">
        <v>5448</v>
      </c>
      <c r="B2875" s="1337" t="s">
        <v>5449</v>
      </c>
      <c r="C2875" s="1338"/>
      <c r="D2875" s="1338"/>
      <c r="E2875" s="1339" t="e">
        <f t="shared" si="378"/>
        <v>#DIV/0!</v>
      </c>
      <c r="F2875" s="1338"/>
      <c r="G2875" s="1338"/>
      <c r="H2875" s="1339" t="e">
        <f t="shared" si="379"/>
        <v>#DIV/0!</v>
      </c>
      <c r="I2875" s="1340">
        <f t="shared" si="381"/>
        <v>0</v>
      </c>
      <c r="J2875" s="1341">
        <f t="shared" si="381"/>
        <v>0</v>
      </c>
      <c r="K2875" s="1342" t="e">
        <f t="shared" si="380"/>
        <v>#DIV/0!</v>
      </c>
    </row>
    <row r="2876" spans="1:11" ht="24.95" customHeight="1">
      <c r="A2876" s="456" t="s">
        <v>5450</v>
      </c>
      <c r="B2876" s="1337" t="s">
        <v>5451</v>
      </c>
      <c r="C2876" s="1338"/>
      <c r="D2876" s="1338"/>
      <c r="E2876" s="1339" t="e">
        <f t="shared" si="378"/>
        <v>#DIV/0!</v>
      </c>
      <c r="F2876" s="1338">
        <v>2</v>
      </c>
      <c r="G2876" s="1338"/>
      <c r="H2876" s="1339">
        <f t="shared" si="379"/>
        <v>0</v>
      </c>
      <c r="I2876" s="1340"/>
      <c r="J2876" s="1341">
        <f t="shared" si="381"/>
        <v>0</v>
      </c>
      <c r="K2876" s="1342" t="e">
        <f t="shared" si="380"/>
        <v>#DIV/0!</v>
      </c>
    </row>
    <row r="2877" spans="1:11" ht="24.95" customHeight="1">
      <c r="A2877" s="456" t="s">
        <v>5452</v>
      </c>
      <c r="B2877" s="1337" t="s">
        <v>5453</v>
      </c>
      <c r="C2877" s="1338"/>
      <c r="D2877" s="1338"/>
      <c r="E2877" s="1339" t="e">
        <f t="shared" si="378"/>
        <v>#DIV/0!</v>
      </c>
      <c r="F2877" s="1338">
        <v>5</v>
      </c>
      <c r="G2877" s="1338">
        <v>1</v>
      </c>
      <c r="H2877" s="1339">
        <f t="shared" si="379"/>
        <v>0.2</v>
      </c>
      <c r="I2877" s="1340">
        <f t="shared" ref="I2877:J2905" si="382">+C2877+F2877</f>
        <v>5</v>
      </c>
      <c r="J2877" s="1341">
        <f t="shared" si="381"/>
        <v>1</v>
      </c>
      <c r="K2877" s="1342">
        <f t="shared" si="380"/>
        <v>0.2</v>
      </c>
    </row>
    <row r="2878" spans="1:11" ht="24.95" customHeight="1">
      <c r="A2878" s="456" t="s">
        <v>5454</v>
      </c>
      <c r="B2878" s="1233" t="s">
        <v>5455</v>
      </c>
      <c r="C2878" s="1338"/>
      <c r="D2878" s="1338"/>
      <c r="E2878" s="1339" t="e">
        <f t="shared" si="378"/>
        <v>#DIV/0!</v>
      </c>
      <c r="F2878" s="1338"/>
      <c r="G2878" s="1338"/>
      <c r="H2878" s="1339" t="e">
        <f t="shared" si="379"/>
        <v>#DIV/0!</v>
      </c>
      <c r="I2878" s="1340">
        <f t="shared" si="382"/>
        <v>0</v>
      </c>
      <c r="J2878" s="1341">
        <f t="shared" si="381"/>
        <v>0</v>
      </c>
      <c r="K2878" s="1342" t="e">
        <f t="shared" si="380"/>
        <v>#DIV/0!</v>
      </c>
    </row>
    <row r="2879" spans="1:11" ht="24.95" customHeight="1">
      <c r="A2879" s="456" t="s">
        <v>5456</v>
      </c>
      <c r="B2879" s="1233" t="s">
        <v>5457</v>
      </c>
      <c r="C2879" s="1338"/>
      <c r="D2879" s="1338"/>
      <c r="E2879" s="1339" t="e">
        <f t="shared" si="378"/>
        <v>#DIV/0!</v>
      </c>
      <c r="F2879" s="1338">
        <v>1</v>
      </c>
      <c r="G2879" s="1338"/>
      <c r="H2879" s="1339">
        <f t="shared" si="379"/>
        <v>0</v>
      </c>
      <c r="I2879" s="1340">
        <f t="shared" si="382"/>
        <v>1</v>
      </c>
      <c r="J2879" s="1341">
        <f t="shared" si="381"/>
        <v>0</v>
      </c>
      <c r="K2879" s="1342">
        <f t="shared" si="380"/>
        <v>0</v>
      </c>
    </row>
    <row r="2880" spans="1:11" ht="24.95" customHeight="1">
      <c r="A2880" s="456" t="s">
        <v>5458</v>
      </c>
      <c r="B2880" s="1233" t="s">
        <v>5459</v>
      </c>
      <c r="C2880" s="1338"/>
      <c r="D2880" s="1338"/>
      <c r="E2880" s="1339" t="e">
        <f t="shared" si="378"/>
        <v>#DIV/0!</v>
      </c>
      <c r="F2880" s="1338">
        <v>5</v>
      </c>
      <c r="G2880" s="1338"/>
      <c r="H2880" s="1339">
        <f t="shared" si="379"/>
        <v>0</v>
      </c>
      <c r="I2880" s="1340">
        <f t="shared" si="382"/>
        <v>5</v>
      </c>
      <c r="J2880" s="1341">
        <f t="shared" si="381"/>
        <v>0</v>
      </c>
      <c r="K2880" s="1342">
        <f t="shared" si="380"/>
        <v>0</v>
      </c>
    </row>
    <row r="2881" spans="1:11" ht="24.95" customHeight="1">
      <c r="A2881" s="456" t="s">
        <v>5460</v>
      </c>
      <c r="B2881" s="1233" t="s">
        <v>5461</v>
      </c>
      <c r="C2881" s="1338"/>
      <c r="D2881" s="1338"/>
      <c r="E2881" s="1339" t="e">
        <f t="shared" si="378"/>
        <v>#DIV/0!</v>
      </c>
      <c r="F2881" s="1338">
        <v>2</v>
      </c>
      <c r="G2881" s="1338"/>
      <c r="H2881" s="1339">
        <f t="shared" si="379"/>
        <v>0</v>
      </c>
      <c r="I2881" s="1340">
        <f t="shared" si="382"/>
        <v>2</v>
      </c>
      <c r="J2881" s="1341">
        <f t="shared" si="381"/>
        <v>0</v>
      </c>
      <c r="K2881" s="1342">
        <f t="shared" si="380"/>
        <v>0</v>
      </c>
    </row>
    <row r="2882" spans="1:11" ht="24.95" customHeight="1">
      <c r="A2882" s="456" t="s">
        <v>5462</v>
      </c>
      <c r="B2882" s="1337" t="s">
        <v>5463</v>
      </c>
      <c r="C2882" s="1338">
        <v>3</v>
      </c>
      <c r="D2882" s="1338">
        <v>4</v>
      </c>
      <c r="E2882" s="1339">
        <f t="shared" si="378"/>
        <v>1.3333333333333333</v>
      </c>
      <c r="F2882" s="1338">
        <v>20</v>
      </c>
      <c r="G2882" s="1338">
        <v>13</v>
      </c>
      <c r="H2882" s="1339">
        <f t="shared" si="379"/>
        <v>0.65</v>
      </c>
      <c r="I2882" s="1340">
        <f t="shared" si="382"/>
        <v>23</v>
      </c>
      <c r="J2882" s="1341">
        <f t="shared" si="381"/>
        <v>17</v>
      </c>
      <c r="K2882" s="1342">
        <f t="shared" si="380"/>
        <v>0.73913043478260865</v>
      </c>
    </row>
    <row r="2883" spans="1:11" ht="24.95" customHeight="1">
      <c r="A2883" s="456" t="s">
        <v>5464</v>
      </c>
      <c r="B2883" s="1337" t="s">
        <v>5465</v>
      </c>
      <c r="C2883" s="1338"/>
      <c r="D2883" s="1338"/>
      <c r="E2883" s="1339" t="e">
        <f t="shared" si="378"/>
        <v>#DIV/0!</v>
      </c>
      <c r="F2883" s="1338">
        <v>1</v>
      </c>
      <c r="G2883" s="1338"/>
      <c r="H2883" s="1339">
        <f t="shared" si="379"/>
        <v>0</v>
      </c>
      <c r="I2883" s="1340">
        <f t="shared" si="382"/>
        <v>1</v>
      </c>
      <c r="J2883" s="1341">
        <f t="shared" si="381"/>
        <v>0</v>
      </c>
      <c r="K2883" s="1342">
        <f t="shared" si="380"/>
        <v>0</v>
      </c>
    </row>
    <row r="2884" spans="1:11" ht="24.95" customHeight="1">
      <c r="A2884" s="456" t="s">
        <v>5466</v>
      </c>
      <c r="B2884" s="1337" t="s">
        <v>5467</v>
      </c>
      <c r="C2884" s="1338"/>
      <c r="D2884" s="1338"/>
      <c r="E2884" s="1339" t="e">
        <f t="shared" si="378"/>
        <v>#DIV/0!</v>
      </c>
      <c r="F2884" s="1338">
        <v>1</v>
      </c>
      <c r="G2884" s="1338"/>
      <c r="H2884" s="1339">
        <f t="shared" si="379"/>
        <v>0</v>
      </c>
      <c r="I2884" s="1340">
        <f t="shared" si="382"/>
        <v>1</v>
      </c>
      <c r="J2884" s="1341">
        <f t="shared" si="381"/>
        <v>0</v>
      </c>
      <c r="K2884" s="1342">
        <f t="shared" si="380"/>
        <v>0</v>
      </c>
    </row>
    <row r="2885" spans="1:11" ht="24.95" customHeight="1">
      <c r="A2885" s="456" t="s">
        <v>5468</v>
      </c>
      <c r="B2885" s="1233" t="s">
        <v>5469</v>
      </c>
      <c r="C2885" s="1338"/>
      <c r="D2885" s="1338"/>
      <c r="E2885" s="1339" t="e">
        <f t="shared" si="378"/>
        <v>#DIV/0!</v>
      </c>
      <c r="F2885" s="1338">
        <v>5</v>
      </c>
      <c r="G2885" s="1338">
        <v>2</v>
      </c>
      <c r="H2885" s="1339">
        <f t="shared" si="379"/>
        <v>0.4</v>
      </c>
      <c r="I2885" s="1340">
        <f t="shared" si="382"/>
        <v>5</v>
      </c>
      <c r="J2885" s="1341">
        <f t="shared" si="381"/>
        <v>2</v>
      </c>
      <c r="K2885" s="1342">
        <f t="shared" si="380"/>
        <v>0.4</v>
      </c>
    </row>
    <row r="2886" spans="1:11" ht="24.95" customHeight="1">
      <c r="A2886" s="1235" t="s">
        <v>5470</v>
      </c>
      <c r="B2886" s="1233" t="s">
        <v>5471</v>
      </c>
      <c r="C2886" s="1338"/>
      <c r="D2886" s="1338"/>
      <c r="E2886" s="1339" t="e">
        <f t="shared" si="378"/>
        <v>#DIV/0!</v>
      </c>
      <c r="F2886" s="1338">
        <v>5</v>
      </c>
      <c r="G2886" s="1338"/>
      <c r="H2886" s="1339">
        <f t="shared" si="379"/>
        <v>0</v>
      </c>
      <c r="I2886" s="1340">
        <f t="shared" si="382"/>
        <v>5</v>
      </c>
      <c r="J2886" s="1341">
        <f t="shared" si="381"/>
        <v>0</v>
      </c>
      <c r="K2886" s="1342">
        <f t="shared" si="380"/>
        <v>0</v>
      </c>
    </row>
    <row r="2887" spans="1:11" ht="24.95" customHeight="1">
      <c r="A2887" s="456" t="s">
        <v>5472</v>
      </c>
      <c r="B2887" s="1337" t="s">
        <v>5473</v>
      </c>
      <c r="C2887" s="1338"/>
      <c r="D2887" s="1338"/>
      <c r="E2887" s="1339" t="e">
        <f t="shared" si="378"/>
        <v>#DIV/0!</v>
      </c>
      <c r="F2887" s="1338">
        <v>1</v>
      </c>
      <c r="G2887" s="1338"/>
      <c r="H2887" s="1339">
        <f t="shared" si="379"/>
        <v>0</v>
      </c>
      <c r="I2887" s="1340">
        <f t="shared" si="382"/>
        <v>1</v>
      </c>
      <c r="J2887" s="1341">
        <f t="shared" si="381"/>
        <v>0</v>
      </c>
      <c r="K2887" s="1342">
        <f t="shared" si="380"/>
        <v>0</v>
      </c>
    </row>
    <row r="2888" spans="1:11" ht="24.95" customHeight="1">
      <c r="A2888" s="456" t="s">
        <v>5474</v>
      </c>
      <c r="B2888" s="1337" t="s">
        <v>5475</v>
      </c>
      <c r="C2888" s="1338"/>
      <c r="D2888" s="1338"/>
      <c r="E2888" s="1339" t="e">
        <f t="shared" si="378"/>
        <v>#DIV/0!</v>
      </c>
      <c r="F2888" s="1338">
        <v>5</v>
      </c>
      <c r="G2888" s="1338"/>
      <c r="H2888" s="1339">
        <f t="shared" si="379"/>
        <v>0</v>
      </c>
      <c r="I2888" s="1340">
        <f t="shared" si="382"/>
        <v>5</v>
      </c>
      <c r="J2888" s="1341">
        <f t="shared" si="381"/>
        <v>0</v>
      </c>
      <c r="K2888" s="1342">
        <f t="shared" si="380"/>
        <v>0</v>
      </c>
    </row>
    <row r="2889" spans="1:11" ht="24.95" customHeight="1">
      <c r="A2889" s="456" t="s">
        <v>5476</v>
      </c>
      <c r="B2889" s="1337" t="s">
        <v>5477</v>
      </c>
      <c r="C2889" s="1338"/>
      <c r="D2889" s="1338"/>
      <c r="E2889" s="1339" t="e">
        <f t="shared" si="378"/>
        <v>#DIV/0!</v>
      </c>
      <c r="F2889" s="1338">
        <v>2</v>
      </c>
      <c r="G2889" s="1338"/>
      <c r="H2889" s="1339">
        <f t="shared" si="379"/>
        <v>0</v>
      </c>
      <c r="I2889" s="1340">
        <f t="shared" si="382"/>
        <v>2</v>
      </c>
      <c r="J2889" s="1341">
        <f t="shared" si="381"/>
        <v>0</v>
      </c>
      <c r="K2889" s="1342">
        <f t="shared" si="380"/>
        <v>0</v>
      </c>
    </row>
    <row r="2890" spans="1:11" ht="24.95" customHeight="1">
      <c r="A2890" s="456" t="s">
        <v>5478</v>
      </c>
      <c r="B2890" s="1337" t="s">
        <v>5479</v>
      </c>
      <c r="C2890" s="1338"/>
      <c r="D2890" s="1338"/>
      <c r="E2890" s="1339" t="e">
        <f t="shared" si="378"/>
        <v>#DIV/0!</v>
      </c>
      <c r="F2890" s="1338">
        <v>4</v>
      </c>
      <c r="G2890" s="1338"/>
      <c r="H2890" s="1339">
        <f t="shared" si="379"/>
        <v>0</v>
      </c>
      <c r="I2890" s="1340">
        <f t="shared" si="382"/>
        <v>4</v>
      </c>
      <c r="J2890" s="1341">
        <f t="shared" si="381"/>
        <v>0</v>
      </c>
      <c r="K2890" s="1342">
        <f t="shared" si="380"/>
        <v>0</v>
      </c>
    </row>
    <row r="2891" spans="1:11" ht="24.95" customHeight="1">
      <c r="A2891" s="456" t="s">
        <v>5480</v>
      </c>
      <c r="B2891" s="1337" t="s">
        <v>5481</v>
      </c>
      <c r="C2891" s="1338"/>
      <c r="D2891" s="1338"/>
      <c r="E2891" s="1339" t="e">
        <f t="shared" si="378"/>
        <v>#DIV/0!</v>
      </c>
      <c r="F2891" s="1338">
        <v>3</v>
      </c>
      <c r="G2891" s="1338"/>
      <c r="H2891" s="1339">
        <f t="shared" si="379"/>
        <v>0</v>
      </c>
      <c r="I2891" s="1340">
        <f t="shared" si="382"/>
        <v>3</v>
      </c>
      <c r="J2891" s="1341">
        <f t="shared" si="381"/>
        <v>0</v>
      </c>
      <c r="K2891" s="1342">
        <f t="shared" si="380"/>
        <v>0</v>
      </c>
    </row>
    <row r="2892" spans="1:11" ht="24.95" customHeight="1">
      <c r="A2892" s="456" t="s">
        <v>5482</v>
      </c>
      <c r="B2892" s="1337" t="s">
        <v>5483</v>
      </c>
      <c r="C2892" s="1338"/>
      <c r="D2892" s="1338"/>
      <c r="E2892" s="1339" t="e">
        <f t="shared" si="378"/>
        <v>#DIV/0!</v>
      </c>
      <c r="F2892" s="1338">
        <v>2</v>
      </c>
      <c r="G2892" s="1338"/>
      <c r="H2892" s="1339">
        <f t="shared" si="379"/>
        <v>0</v>
      </c>
      <c r="I2892" s="1340">
        <f t="shared" si="382"/>
        <v>2</v>
      </c>
      <c r="J2892" s="1341">
        <f t="shared" si="381"/>
        <v>0</v>
      </c>
      <c r="K2892" s="1342">
        <f t="shared" si="380"/>
        <v>0</v>
      </c>
    </row>
    <row r="2893" spans="1:11" ht="24.95" customHeight="1">
      <c r="A2893" s="456" t="s">
        <v>5484</v>
      </c>
      <c r="B2893" s="1337" t="s">
        <v>5485</v>
      </c>
      <c r="C2893" s="1338"/>
      <c r="D2893" s="1338"/>
      <c r="E2893" s="1339" t="e">
        <f t="shared" si="378"/>
        <v>#DIV/0!</v>
      </c>
      <c r="F2893" s="1338">
        <v>35</v>
      </c>
      <c r="G2893" s="1338">
        <v>20</v>
      </c>
      <c r="H2893" s="1339">
        <f t="shared" si="379"/>
        <v>0.5714285714285714</v>
      </c>
      <c r="I2893" s="1340">
        <f t="shared" si="382"/>
        <v>35</v>
      </c>
      <c r="J2893" s="1341">
        <f t="shared" si="381"/>
        <v>20</v>
      </c>
      <c r="K2893" s="1342">
        <f t="shared" si="380"/>
        <v>0.5714285714285714</v>
      </c>
    </row>
    <row r="2894" spans="1:11" ht="24.95" customHeight="1">
      <c r="A2894" s="456" t="s">
        <v>5486</v>
      </c>
      <c r="B2894" s="1337" t="s">
        <v>5487</v>
      </c>
      <c r="C2894" s="1338"/>
      <c r="D2894" s="1338"/>
      <c r="E2894" s="1339" t="e">
        <f t="shared" si="378"/>
        <v>#DIV/0!</v>
      </c>
      <c r="F2894" s="1338">
        <v>1</v>
      </c>
      <c r="G2894" s="1338"/>
      <c r="H2894" s="1339">
        <f t="shared" si="379"/>
        <v>0</v>
      </c>
      <c r="I2894" s="1340">
        <f t="shared" si="382"/>
        <v>1</v>
      </c>
      <c r="J2894" s="1341">
        <f t="shared" si="382"/>
        <v>0</v>
      </c>
      <c r="K2894" s="1342">
        <f t="shared" si="380"/>
        <v>0</v>
      </c>
    </row>
    <row r="2895" spans="1:11" ht="24.95" customHeight="1">
      <c r="A2895" s="456" t="s">
        <v>5488</v>
      </c>
      <c r="B2895" s="1337" t="s">
        <v>5489</v>
      </c>
      <c r="C2895" s="1338"/>
      <c r="D2895" s="1338"/>
      <c r="E2895" s="1339" t="e">
        <f t="shared" si="378"/>
        <v>#DIV/0!</v>
      </c>
      <c r="F2895" s="1338">
        <v>1</v>
      </c>
      <c r="G2895" s="1338">
        <v>1</v>
      </c>
      <c r="H2895" s="1339">
        <f t="shared" si="379"/>
        <v>1</v>
      </c>
      <c r="I2895" s="1340">
        <f t="shared" si="382"/>
        <v>1</v>
      </c>
      <c r="J2895" s="1341">
        <f t="shared" si="382"/>
        <v>1</v>
      </c>
      <c r="K2895" s="1342">
        <f t="shared" si="380"/>
        <v>1</v>
      </c>
    </row>
    <row r="2896" spans="1:11" ht="24.95" customHeight="1">
      <c r="A2896" s="456" t="s">
        <v>5490</v>
      </c>
      <c r="B2896" s="1337" t="s">
        <v>5491</v>
      </c>
      <c r="C2896" s="1338"/>
      <c r="D2896" s="1338"/>
      <c r="E2896" s="1339" t="e">
        <f t="shared" si="378"/>
        <v>#DIV/0!</v>
      </c>
      <c r="F2896" s="1338">
        <v>1</v>
      </c>
      <c r="G2896" s="1338"/>
      <c r="H2896" s="1339">
        <f t="shared" si="379"/>
        <v>0</v>
      </c>
      <c r="I2896" s="1340">
        <f t="shared" si="382"/>
        <v>1</v>
      </c>
      <c r="J2896" s="1341">
        <f t="shared" si="382"/>
        <v>0</v>
      </c>
      <c r="K2896" s="1342">
        <f t="shared" si="380"/>
        <v>0</v>
      </c>
    </row>
    <row r="2897" spans="1:11" ht="24.95" customHeight="1">
      <c r="A2897" s="456" t="s">
        <v>5492</v>
      </c>
      <c r="B2897" s="1337" t="s">
        <v>5493</v>
      </c>
      <c r="C2897" s="1338"/>
      <c r="D2897" s="1338"/>
      <c r="E2897" s="1339" t="e">
        <f t="shared" si="378"/>
        <v>#DIV/0!</v>
      </c>
      <c r="F2897" s="1338"/>
      <c r="G2897" s="1338"/>
      <c r="H2897" s="1339" t="e">
        <f t="shared" si="379"/>
        <v>#DIV/0!</v>
      </c>
      <c r="I2897" s="1340">
        <f t="shared" si="382"/>
        <v>0</v>
      </c>
      <c r="J2897" s="1341">
        <f t="shared" si="382"/>
        <v>0</v>
      </c>
      <c r="K2897" s="1342" t="e">
        <f t="shared" si="380"/>
        <v>#DIV/0!</v>
      </c>
    </row>
    <row r="2898" spans="1:11" ht="24.95" customHeight="1">
      <c r="A2898" s="456" t="s">
        <v>5494</v>
      </c>
      <c r="B2898" s="1337" t="s">
        <v>5495</v>
      </c>
      <c r="C2898" s="1338"/>
      <c r="D2898" s="1338"/>
      <c r="E2898" s="1339" t="e">
        <f t="shared" si="378"/>
        <v>#DIV/0!</v>
      </c>
      <c r="F2898" s="1338">
        <v>1</v>
      </c>
      <c r="G2898" s="1338"/>
      <c r="H2898" s="1339">
        <f t="shared" si="379"/>
        <v>0</v>
      </c>
      <c r="I2898" s="1340">
        <f t="shared" si="382"/>
        <v>1</v>
      </c>
      <c r="J2898" s="1341">
        <f t="shared" si="382"/>
        <v>0</v>
      </c>
      <c r="K2898" s="1342">
        <f t="shared" si="380"/>
        <v>0</v>
      </c>
    </row>
    <row r="2899" spans="1:11" ht="24.95" customHeight="1">
      <c r="A2899" s="456" t="s">
        <v>5496</v>
      </c>
      <c r="B2899" s="1337" t="s">
        <v>5497</v>
      </c>
      <c r="C2899" s="1338"/>
      <c r="D2899" s="1338"/>
      <c r="E2899" s="1339" t="e">
        <f t="shared" si="378"/>
        <v>#DIV/0!</v>
      </c>
      <c r="F2899" s="1338">
        <v>1</v>
      </c>
      <c r="G2899" s="1338"/>
      <c r="H2899" s="1339">
        <f t="shared" si="379"/>
        <v>0</v>
      </c>
      <c r="I2899" s="1340">
        <f t="shared" si="382"/>
        <v>1</v>
      </c>
      <c r="J2899" s="1341">
        <f t="shared" si="382"/>
        <v>0</v>
      </c>
      <c r="K2899" s="1342">
        <f t="shared" si="380"/>
        <v>0</v>
      </c>
    </row>
    <row r="2900" spans="1:11" ht="24.95" customHeight="1">
      <c r="A2900" s="456" t="s">
        <v>5498</v>
      </c>
      <c r="B2900" s="1337" t="s">
        <v>5499</v>
      </c>
      <c r="C2900" s="1338"/>
      <c r="D2900" s="1338"/>
      <c r="E2900" s="1339" t="e">
        <f t="shared" si="378"/>
        <v>#DIV/0!</v>
      </c>
      <c r="F2900" s="1338">
        <v>1</v>
      </c>
      <c r="G2900" s="1338"/>
      <c r="H2900" s="1339">
        <f t="shared" si="379"/>
        <v>0</v>
      </c>
      <c r="I2900" s="1340">
        <f t="shared" si="382"/>
        <v>1</v>
      </c>
      <c r="J2900" s="1341">
        <f t="shared" si="382"/>
        <v>0</v>
      </c>
      <c r="K2900" s="1342">
        <f t="shared" si="380"/>
        <v>0</v>
      </c>
    </row>
    <row r="2901" spans="1:11" ht="24.95" customHeight="1">
      <c r="A2901" s="456" t="s">
        <v>5500</v>
      </c>
      <c r="B2901" s="1337" t="s">
        <v>5501</v>
      </c>
      <c r="C2901" s="1338"/>
      <c r="D2901" s="1338"/>
      <c r="E2901" s="1339" t="e">
        <f t="shared" si="378"/>
        <v>#DIV/0!</v>
      </c>
      <c r="F2901" s="1338">
        <v>1</v>
      </c>
      <c r="G2901" s="1338"/>
      <c r="H2901" s="1339">
        <f t="shared" si="379"/>
        <v>0</v>
      </c>
      <c r="I2901" s="1340">
        <f t="shared" si="382"/>
        <v>1</v>
      </c>
      <c r="J2901" s="1341">
        <f t="shared" si="382"/>
        <v>0</v>
      </c>
      <c r="K2901" s="1342">
        <f t="shared" si="380"/>
        <v>0</v>
      </c>
    </row>
    <row r="2902" spans="1:11" ht="24.95" customHeight="1">
      <c r="A2902" s="456" t="s">
        <v>5502</v>
      </c>
      <c r="B2902" s="1233" t="s">
        <v>5503</v>
      </c>
      <c r="C2902" s="1338">
        <v>1</v>
      </c>
      <c r="D2902" s="1338"/>
      <c r="E2902" s="1339">
        <f t="shared" si="378"/>
        <v>0</v>
      </c>
      <c r="F2902" s="1338">
        <v>2</v>
      </c>
      <c r="G2902" s="1338"/>
      <c r="H2902" s="1339">
        <f t="shared" si="379"/>
        <v>0</v>
      </c>
      <c r="I2902" s="1340">
        <f t="shared" si="382"/>
        <v>3</v>
      </c>
      <c r="J2902" s="1341">
        <f t="shared" si="382"/>
        <v>0</v>
      </c>
      <c r="K2902" s="1342">
        <f t="shared" si="380"/>
        <v>0</v>
      </c>
    </row>
    <row r="2903" spans="1:11" ht="24.95" customHeight="1">
      <c r="A2903" s="1235" t="s">
        <v>2554</v>
      </c>
      <c r="B2903" s="1233" t="s">
        <v>4151</v>
      </c>
      <c r="C2903" s="1338"/>
      <c r="D2903" s="1338"/>
      <c r="E2903" s="1339" t="e">
        <f t="shared" si="378"/>
        <v>#DIV/0!</v>
      </c>
      <c r="F2903" s="1338"/>
      <c r="G2903" s="1338"/>
      <c r="H2903" s="1339" t="e">
        <f t="shared" si="379"/>
        <v>#DIV/0!</v>
      </c>
      <c r="I2903" s="1340">
        <f t="shared" si="382"/>
        <v>0</v>
      </c>
      <c r="J2903" s="1341">
        <f t="shared" si="382"/>
        <v>0</v>
      </c>
      <c r="K2903" s="1342" t="e">
        <f t="shared" si="380"/>
        <v>#DIV/0!</v>
      </c>
    </row>
    <row r="2904" spans="1:11" ht="24.95" customHeight="1">
      <c r="A2904" s="456" t="s">
        <v>5504</v>
      </c>
      <c r="B2904" s="1337" t="s">
        <v>5505</v>
      </c>
      <c r="C2904" s="1338"/>
      <c r="D2904" s="1338"/>
      <c r="E2904" s="1339" t="e">
        <f t="shared" si="378"/>
        <v>#DIV/0!</v>
      </c>
      <c r="F2904" s="1338">
        <v>6</v>
      </c>
      <c r="G2904" s="1338">
        <v>1</v>
      </c>
      <c r="H2904" s="1339">
        <f t="shared" si="379"/>
        <v>0.16666666666666666</v>
      </c>
      <c r="I2904" s="1340">
        <f t="shared" si="382"/>
        <v>6</v>
      </c>
      <c r="J2904" s="1341">
        <f t="shared" si="382"/>
        <v>1</v>
      </c>
      <c r="K2904" s="1342">
        <f t="shared" si="380"/>
        <v>0.16666666666666666</v>
      </c>
    </row>
    <row r="2905" spans="1:11" ht="24.95" customHeight="1">
      <c r="A2905" s="456" t="s">
        <v>5506</v>
      </c>
      <c r="B2905" s="1337" t="s">
        <v>5507</v>
      </c>
      <c r="C2905" s="1338"/>
      <c r="D2905" s="1338"/>
      <c r="E2905" s="1339" t="e">
        <f t="shared" si="378"/>
        <v>#DIV/0!</v>
      </c>
      <c r="F2905" s="1338">
        <v>1</v>
      </c>
      <c r="G2905" s="1338"/>
      <c r="H2905" s="1339">
        <f t="shared" si="379"/>
        <v>0</v>
      </c>
      <c r="I2905" s="1340">
        <f t="shared" si="382"/>
        <v>1</v>
      </c>
      <c r="J2905" s="1341">
        <f t="shared" si="382"/>
        <v>0</v>
      </c>
      <c r="K2905" s="1342">
        <f t="shared" si="380"/>
        <v>0</v>
      </c>
    </row>
    <row r="2906" spans="1:11" ht="24.95" customHeight="1">
      <c r="A2906" s="1210"/>
      <c r="B2906" s="1331" t="s">
        <v>5508</v>
      </c>
      <c r="C2906" s="1344">
        <f t="shared" ref="C2906:J2906" si="383">SUM(C2796:C2905)</f>
        <v>53</v>
      </c>
      <c r="D2906" s="1344">
        <f t="shared" si="383"/>
        <v>34</v>
      </c>
      <c r="E2906" s="1339">
        <f t="shared" si="378"/>
        <v>0.64150943396226412</v>
      </c>
      <c r="F2906" s="1344">
        <f t="shared" si="383"/>
        <v>662</v>
      </c>
      <c r="G2906" s="1344">
        <f t="shared" si="383"/>
        <v>238</v>
      </c>
      <c r="H2906" s="1339">
        <f t="shared" si="379"/>
        <v>0.3595166163141994</v>
      </c>
      <c r="I2906" s="1345">
        <f t="shared" si="383"/>
        <v>713</v>
      </c>
      <c r="J2906" s="1345">
        <f t="shared" si="383"/>
        <v>272</v>
      </c>
      <c r="K2906" s="1342">
        <f t="shared" si="380"/>
        <v>0.38148667601683028</v>
      </c>
    </row>
    <row r="2907" spans="1:11" ht="24.95" customHeight="1">
      <c r="A2907" s="734"/>
      <c r="B2907" s="1346" t="s">
        <v>2372</v>
      </c>
      <c r="C2907" s="1347"/>
      <c r="D2907" s="1348"/>
      <c r="E2907" s="1349"/>
      <c r="F2907" s="1348"/>
      <c r="G2907" s="1348"/>
      <c r="H2907" s="1349"/>
      <c r="I2907" s="1348"/>
      <c r="J2907" s="1335"/>
      <c r="K2907" s="1342"/>
    </row>
    <row r="2908" spans="1:11" ht="24.95" customHeight="1">
      <c r="A2908" s="1350" t="s">
        <v>2373</v>
      </c>
      <c r="B2908" s="1351" t="s">
        <v>2374</v>
      </c>
      <c r="C2908" s="1352">
        <v>1</v>
      </c>
      <c r="D2908" s="1352"/>
      <c r="E2908" s="1353">
        <f>+D2908/C2908</f>
        <v>0</v>
      </c>
      <c r="F2908" s="1352"/>
      <c r="G2908" s="1352"/>
      <c r="H2908" s="1353" t="e">
        <f>+G2908/F2908</f>
        <v>#DIV/0!</v>
      </c>
      <c r="I2908" s="1340">
        <f t="shared" ref="I2908:J2939" si="384">+C2908+F2908</f>
        <v>1</v>
      </c>
      <c r="J2908" s="1335">
        <f>+D2908+G2908</f>
        <v>0</v>
      </c>
      <c r="K2908" s="1342">
        <f>+J2908/I2908</f>
        <v>0</v>
      </c>
    </row>
    <row r="2909" spans="1:11" ht="24.95" customHeight="1">
      <c r="A2909" s="1350" t="s">
        <v>5165</v>
      </c>
      <c r="B2909" s="1351" t="s">
        <v>5166</v>
      </c>
      <c r="C2909" s="1352">
        <v>1</v>
      </c>
      <c r="D2909" s="1352"/>
      <c r="E2909" s="1353">
        <f t="shared" ref="E2909:E2972" si="385">+D2909/C2909</f>
        <v>0</v>
      </c>
      <c r="F2909" s="1352"/>
      <c r="G2909" s="1352"/>
      <c r="H2909" s="1353" t="e">
        <f t="shared" ref="H2909:H2972" si="386">+G2909/F2909</f>
        <v>#DIV/0!</v>
      </c>
      <c r="I2909" s="1340">
        <f t="shared" si="384"/>
        <v>1</v>
      </c>
      <c r="J2909" s="1335">
        <f t="shared" si="384"/>
        <v>0</v>
      </c>
      <c r="K2909" s="1342">
        <f t="shared" ref="K2909:K2972" si="387">+J2909/I2909</f>
        <v>0</v>
      </c>
    </row>
    <row r="2910" spans="1:11" ht="24.95" customHeight="1">
      <c r="A2910" s="1354" t="s">
        <v>2375</v>
      </c>
      <c r="B2910" s="1355" t="s">
        <v>2376</v>
      </c>
      <c r="C2910" s="1338">
        <v>2</v>
      </c>
      <c r="D2910" s="1338"/>
      <c r="E2910" s="1353">
        <f t="shared" si="385"/>
        <v>0</v>
      </c>
      <c r="F2910" s="1338">
        <v>5</v>
      </c>
      <c r="G2910" s="1338">
        <v>1</v>
      </c>
      <c r="H2910" s="1353">
        <f t="shared" si="386"/>
        <v>0.2</v>
      </c>
      <c r="I2910" s="1340">
        <f t="shared" si="384"/>
        <v>7</v>
      </c>
      <c r="J2910" s="1335">
        <f t="shared" si="384"/>
        <v>1</v>
      </c>
      <c r="K2910" s="1342">
        <f t="shared" si="387"/>
        <v>0.14285714285714285</v>
      </c>
    </row>
    <row r="2911" spans="1:11" ht="24.95" customHeight="1">
      <c r="A2911" s="1235" t="s">
        <v>3166</v>
      </c>
      <c r="B2911" s="1236" t="s">
        <v>5509</v>
      </c>
      <c r="C2911" s="1338"/>
      <c r="D2911" s="1338"/>
      <c r="E2911" s="1353" t="e">
        <f t="shared" si="385"/>
        <v>#DIV/0!</v>
      </c>
      <c r="F2911" s="1338"/>
      <c r="G2911" s="1338"/>
      <c r="H2911" s="1353" t="e">
        <f t="shared" si="386"/>
        <v>#DIV/0!</v>
      </c>
      <c r="I2911" s="1340">
        <f t="shared" si="384"/>
        <v>0</v>
      </c>
      <c r="J2911" s="1335">
        <f t="shared" si="384"/>
        <v>0</v>
      </c>
      <c r="K2911" s="1342" t="e">
        <f t="shared" si="387"/>
        <v>#DIV/0!</v>
      </c>
    </row>
    <row r="2912" spans="1:11" ht="24.95" customHeight="1">
      <c r="A2912" s="1235" t="s">
        <v>3013</v>
      </c>
      <c r="B2912" s="1236" t="s">
        <v>2388</v>
      </c>
      <c r="C2912" s="1338"/>
      <c r="D2912" s="1338"/>
      <c r="E2912" s="1353" t="e">
        <f t="shared" si="385"/>
        <v>#DIV/0!</v>
      </c>
      <c r="F2912" s="1338">
        <v>150</v>
      </c>
      <c r="G2912" s="1338">
        <v>53</v>
      </c>
      <c r="H2912" s="1353">
        <f t="shared" si="386"/>
        <v>0.35333333333333333</v>
      </c>
      <c r="I2912" s="1340">
        <f t="shared" si="384"/>
        <v>150</v>
      </c>
      <c r="J2912" s="1335">
        <f t="shared" si="384"/>
        <v>53</v>
      </c>
      <c r="K2912" s="1342">
        <f t="shared" si="387"/>
        <v>0.35333333333333333</v>
      </c>
    </row>
    <row r="2913" spans="1:11" ht="24.95" customHeight="1">
      <c r="A2913" s="456">
        <v>130207</v>
      </c>
      <c r="B2913" s="452" t="s">
        <v>2390</v>
      </c>
      <c r="C2913" s="1338">
        <v>5</v>
      </c>
      <c r="D2913" s="1338">
        <v>0</v>
      </c>
      <c r="E2913" s="1353">
        <f t="shared" si="385"/>
        <v>0</v>
      </c>
      <c r="F2913" s="1338">
        <v>3</v>
      </c>
      <c r="G2913" s="1338"/>
      <c r="H2913" s="1353">
        <f t="shared" si="386"/>
        <v>0</v>
      </c>
      <c r="I2913" s="1340">
        <f t="shared" si="384"/>
        <v>8</v>
      </c>
      <c r="J2913" s="1335">
        <f t="shared" si="384"/>
        <v>0</v>
      </c>
      <c r="K2913" s="1342">
        <f t="shared" si="387"/>
        <v>0</v>
      </c>
    </row>
    <row r="2914" spans="1:11" ht="24.95" customHeight="1">
      <c r="A2914" s="1356" t="s">
        <v>5305</v>
      </c>
      <c r="B2914" s="1357" t="s">
        <v>5306</v>
      </c>
      <c r="C2914" s="1358"/>
      <c r="D2914" s="1358"/>
      <c r="E2914" s="1353" t="e">
        <f t="shared" si="385"/>
        <v>#DIV/0!</v>
      </c>
      <c r="F2914" s="1358">
        <v>10</v>
      </c>
      <c r="G2914" s="1358"/>
      <c r="H2914" s="1353">
        <f t="shared" si="386"/>
        <v>0</v>
      </c>
      <c r="I2914" s="1359">
        <f t="shared" si="384"/>
        <v>10</v>
      </c>
      <c r="J2914" s="1335">
        <f t="shared" si="384"/>
        <v>0</v>
      </c>
      <c r="K2914" s="1342">
        <f t="shared" si="387"/>
        <v>0</v>
      </c>
    </row>
    <row r="2915" spans="1:11" ht="24.95" customHeight="1">
      <c r="A2915" s="1356" t="s">
        <v>5307</v>
      </c>
      <c r="B2915" s="1357" t="s">
        <v>5510</v>
      </c>
      <c r="C2915" s="1358"/>
      <c r="D2915" s="1358"/>
      <c r="E2915" s="1353" t="e">
        <f t="shared" si="385"/>
        <v>#DIV/0!</v>
      </c>
      <c r="F2915" s="1358">
        <v>5</v>
      </c>
      <c r="G2915" s="1358"/>
      <c r="H2915" s="1353">
        <f t="shared" si="386"/>
        <v>0</v>
      </c>
      <c r="I2915" s="1359">
        <f t="shared" si="384"/>
        <v>5</v>
      </c>
      <c r="J2915" s="1335">
        <f t="shared" si="384"/>
        <v>0</v>
      </c>
      <c r="K2915" s="1342">
        <f t="shared" si="387"/>
        <v>0</v>
      </c>
    </row>
    <row r="2916" spans="1:11" ht="24.95" customHeight="1">
      <c r="A2916" s="1234" t="s">
        <v>5511</v>
      </c>
      <c r="B2916" s="1237" t="s">
        <v>5512</v>
      </c>
      <c r="C2916" s="1338"/>
      <c r="D2916" s="1338"/>
      <c r="E2916" s="1353" t="e">
        <f t="shared" si="385"/>
        <v>#DIV/0!</v>
      </c>
      <c r="F2916" s="1338"/>
      <c r="G2916" s="1338"/>
      <c r="H2916" s="1353" t="e">
        <f t="shared" si="386"/>
        <v>#DIV/0!</v>
      </c>
      <c r="I2916" s="1340">
        <f t="shared" si="384"/>
        <v>0</v>
      </c>
      <c r="J2916" s="1335">
        <f t="shared" si="384"/>
        <v>0</v>
      </c>
      <c r="K2916" s="1342" t="e">
        <f t="shared" si="387"/>
        <v>#DIV/0!</v>
      </c>
    </row>
    <row r="2917" spans="1:11" ht="24.95" customHeight="1">
      <c r="A2917" s="456" t="s">
        <v>2393</v>
      </c>
      <c r="B2917" s="452" t="s">
        <v>2394</v>
      </c>
      <c r="C2917" s="1338"/>
      <c r="D2917" s="1338"/>
      <c r="E2917" s="1353" t="e">
        <f t="shared" si="385"/>
        <v>#DIV/0!</v>
      </c>
      <c r="F2917" s="1338">
        <v>10</v>
      </c>
      <c r="G2917" s="1338">
        <v>7</v>
      </c>
      <c r="H2917" s="1353">
        <f t="shared" si="386"/>
        <v>0.7</v>
      </c>
      <c r="I2917" s="1340">
        <f t="shared" si="384"/>
        <v>10</v>
      </c>
      <c r="J2917" s="1335">
        <f t="shared" si="384"/>
        <v>7</v>
      </c>
      <c r="K2917" s="1342">
        <f t="shared" si="387"/>
        <v>0.7</v>
      </c>
    </row>
    <row r="2918" spans="1:11" ht="24.95" customHeight="1">
      <c r="A2918" s="456" t="s">
        <v>2395</v>
      </c>
      <c r="B2918" s="452" t="s">
        <v>2396</v>
      </c>
      <c r="C2918" s="1338"/>
      <c r="D2918" s="1338"/>
      <c r="E2918" s="1353" t="e">
        <f t="shared" si="385"/>
        <v>#DIV/0!</v>
      </c>
      <c r="F2918" s="1338">
        <v>210</v>
      </c>
      <c r="G2918" s="1338">
        <v>101</v>
      </c>
      <c r="H2918" s="1353">
        <f t="shared" si="386"/>
        <v>0.48095238095238096</v>
      </c>
      <c r="I2918" s="1340">
        <f t="shared" si="384"/>
        <v>210</v>
      </c>
      <c r="J2918" s="1335">
        <f t="shared" si="384"/>
        <v>101</v>
      </c>
      <c r="K2918" s="1342">
        <f t="shared" si="387"/>
        <v>0.48095238095238096</v>
      </c>
    </row>
    <row r="2919" spans="1:11" ht="24.95" customHeight="1">
      <c r="A2919" s="456" t="s">
        <v>2397</v>
      </c>
      <c r="B2919" s="452" t="s">
        <v>2398</v>
      </c>
      <c r="C2919" s="1338"/>
      <c r="D2919" s="1338"/>
      <c r="E2919" s="1353" t="e">
        <f t="shared" si="385"/>
        <v>#DIV/0!</v>
      </c>
      <c r="F2919" s="1338">
        <v>40</v>
      </c>
      <c r="G2919" s="1338"/>
      <c r="H2919" s="1353">
        <f t="shared" si="386"/>
        <v>0</v>
      </c>
      <c r="I2919" s="1340">
        <f t="shared" si="384"/>
        <v>40</v>
      </c>
      <c r="J2919" s="1335">
        <f t="shared" si="384"/>
        <v>0</v>
      </c>
      <c r="K2919" s="1342">
        <f t="shared" si="387"/>
        <v>0</v>
      </c>
    </row>
    <row r="2920" spans="1:11" ht="24.95" customHeight="1">
      <c r="A2920" s="456" t="s">
        <v>2401</v>
      </c>
      <c r="B2920" s="452" t="s">
        <v>2402</v>
      </c>
      <c r="C2920" s="1338">
        <v>2</v>
      </c>
      <c r="D2920" s="1338"/>
      <c r="E2920" s="1353">
        <f t="shared" si="385"/>
        <v>0</v>
      </c>
      <c r="F2920" s="1338">
        <v>2720</v>
      </c>
      <c r="G2920" s="1338">
        <v>1100</v>
      </c>
      <c r="H2920" s="1353">
        <f t="shared" si="386"/>
        <v>0.40441176470588236</v>
      </c>
      <c r="I2920" s="1340">
        <f t="shared" si="384"/>
        <v>2722</v>
      </c>
      <c r="J2920" s="1335">
        <f t="shared" si="384"/>
        <v>1100</v>
      </c>
      <c r="K2920" s="1342">
        <f t="shared" si="387"/>
        <v>0.40411462160176342</v>
      </c>
    </row>
    <row r="2921" spans="1:11" ht="24.95" customHeight="1">
      <c r="A2921" s="456" t="s">
        <v>2805</v>
      </c>
      <c r="B2921" s="452" t="s">
        <v>3547</v>
      </c>
      <c r="C2921" s="1338"/>
      <c r="D2921" s="1338"/>
      <c r="E2921" s="1353" t="e">
        <f t="shared" si="385"/>
        <v>#DIV/0!</v>
      </c>
      <c r="F2921" s="1338">
        <v>1</v>
      </c>
      <c r="G2921" s="1338"/>
      <c r="H2921" s="1353">
        <f t="shared" si="386"/>
        <v>0</v>
      </c>
      <c r="I2921" s="1340">
        <f t="shared" si="384"/>
        <v>1</v>
      </c>
      <c r="J2921" s="1335">
        <f t="shared" si="384"/>
        <v>0</v>
      </c>
      <c r="K2921" s="1342">
        <f t="shared" si="387"/>
        <v>0</v>
      </c>
    </row>
    <row r="2922" spans="1:11" ht="24.95" customHeight="1">
      <c r="A2922" s="448" t="s">
        <v>3117</v>
      </c>
      <c r="B2922" s="1261" t="s">
        <v>3118</v>
      </c>
      <c r="C2922" s="1338"/>
      <c r="D2922" s="1338"/>
      <c r="E2922" s="1353" t="e">
        <f t="shared" si="385"/>
        <v>#DIV/0!</v>
      </c>
      <c r="F2922" s="1338"/>
      <c r="G2922" s="1338"/>
      <c r="H2922" s="1353" t="e">
        <f t="shared" si="386"/>
        <v>#DIV/0!</v>
      </c>
      <c r="I2922" s="1340">
        <f t="shared" si="384"/>
        <v>0</v>
      </c>
      <c r="J2922" s="1335">
        <f t="shared" si="384"/>
        <v>0</v>
      </c>
      <c r="K2922" s="1342" t="e">
        <f t="shared" si="387"/>
        <v>#DIV/0!</v>
      </c>
    </row>
    <row r="2923" spans="1:11" ht="24.95" customHeight="1">
      <c r="A2923" s="448" t="s">
        <v>3125</v>
      </c>
      <c r="B2923" s="1261" t="s">
        <v>3126</v>
      </c>
      <c r="C2923" s="1338"/>
      <c r="D2923" s="1338"/>
      <c r="E2923" s="1353" t="e">
        <f t="shared" si="385"/>
        <v>#DIV/0!</v>
      </c>
      <c r="F2923" s="1338">
        <v>2</v>
      </c>
      <c r="G2923" s="1338"/>
      <c r="H2923" s="1353">
        <f t="shared" si="386"/>
        <v>0</v>
      </c>
      <c r="I2923" s="1340">
        <f t="shared" si="384"/>
        <v>2</v>
      </c>
      <c r="J2923" s="1335">
        <f t="shared" si="384"/>
        <v>0</v>
      </c>
      <c r="K2923" s="1342">
        <f t="shared" si="387"/>
        <v>0</v>
      </c>
    </row>
    <row r="2924" spans="1:11" ht="24.95" customHeight="1">
      <c r="A2924" s="1264" t="s">
        <v>3959</v>
      </c>
      <c r="B2924" s="1265" t="s">
        <v>3960</v>
      </c>
      <c r="C2924" s="1338"/>
      <c r="D2924" s="1338"/>
      <c r="E2924" s="1353" t="e">
        <f t="shared" si="385"/>
        <v>#DIV/0!</v>
      </c>
      <c r="F2924" s="1338"/>
      <c r="G2924" s="1338"/>
      <c r="H2924" s="1353" t="e">
        <f t="shared" si="386"/>
        <v>#DIV/0!</v>
      </c>
      <c r="I2924" s="1340">
        <f t="shared" si="384"/>
        <v>0</v>
      </c>
      <c r="J2924" s="1335">
        <f t="shared" si="384"/>
        <v>0</v>
      </c>
      <c r="K2924" s="1342" t="e">
        <f t="shared" si="387"/>
        <v>#DIV/0!</v>
      </c>
    </row>
    <row r="2925" spans="1:11" ht="24.95" customHeight="1">
      <c r="A2925" s="1264" t="s">
        <v>3961</v>
      </c>
      <c r="B2925" s="1265" t="s">
        <v>4907</v>
      </c>
      <c r="C2925" s="1338"/>
      <c r="D2925" s="1338"/>
      <c r="E2925" s="1353" t="e">
        <f t="shared" si="385"/>
        <v>#DIV/0!</v>
      </c>
      <c r="F2925" s="1338"/>
      <c r="G2925" s="1338"/>
      <c r="H2925" s="1353" t="e">
        <f t="shared" si="386"/>
        <v>#DIV/0!</v>
      </c>
      <c r="I2925" s="1340">
        <f t="shared" si="384"/>
        <v>0</v>
      </c>
      <c r="J2925" s="1335">
        <f t="shared" si="384"/>
        <v>0</v>
      </c>
      <c r="K2925" s="1342" t="e">
        <f t="shared" si="387"/>
        <v>#DIV/0!</v>
      </c>
    </row>
    <row r="2926" spans="1:11" ht="24.95" customHeight="1">
      <c r="A2926" s="1264" t="s">
        <v>2808</v>
      </c>
      <c r="B2926" s="1265" t="s">
        <v>5513</v>
      </c>
      <c r="C2926" s="1338"/>
      <c r="D2926" s="1338"/>
      <c r="E2926" s="1353" t="e">
        <f t="shared" si="385"/>
        <v>#DIV/0!</v>
      </c>
      <c r="F2926" s="1338">
        <v>3</v>
      </c>
      <c r="G2926" s="1338">
        <v>8</v>
      </c>
      <c r="H2926" s="1353">
        <f t="shared" si="386"/>
        <v>2.6666666666666665</v>
      </c>
      <c r="I2926" s="1340">
        <f t="shared" si="384"/>
        <v>3</v>
      </c>
      <c r="J2926" s="1335">
        <f t="shared" si="384"/>
        <v>8</v>
      </c>
      <c r="K2926" s="1342">
        <f t="shared" si="387"/>
        <v>2.6666666666666665</v>
      </c>
    </row>
    <row r="2927" spans="1:11" ht="24.95" customHeight="1">
      <c r="A2927" s="456" t="s">
        <v>2423</v>
      </c>
      <c r="B2927" s="449" t="s">
        <v>2424</v>
      </c>
      <c r="C2927" s="1338">
        <v>585</v>
      </c>
      <c r="D2927" s="1338">
        <v>213</v>
      </c>
      <c r="E2927" s="1353">
        <f t="shared" si="385"/>
        <v>0.36410256410256409</v>
      </c>
      <c r="F2927" s="1338">
        <v>900</v>
      </c>
      <c r="G2927" s="1338">
        <f>12+513</f>
        <v>525</v>
      </c>
      <c r="H2927" s="1353">
        <f t="shared" si="386"/>
        <v>0.58333333333333337</v>
      </c>
      <c r="I2927" s="1340">
        <f t="shared" si="384"/>
        <v>1485</v>
      </c>
      <c r="J2927" s="1335">
        <f t="shared" si="384"/>
        <v>738</v>
      </c>
      <c r="K2927" s="1342">
        <f t="shared" si="387"/>
        <v>0.49696969696969695</v>
      </c>
    </row>
    <row r="2928" spans="1:11" ht="24.95" customHeight="1">
      <c r="A2928" s="456" t="s">
        <v>3231</v>
      </c>
      <c r="B2928" s="449" t="s">
        <v>5514</v>
      </c>
      <c r="C2928" s="1338">
        <v>3</v>
      </c>
      <c r="D2928" s="1338"/>
      <c r="E2928" s="1353">
        <f t="shared" si="385"/>
        <v>0</v>
      </c>
      <c r="F2928" s="1338">
        <v>2</v>
      </c>
      <c r="G2928" s="1338"/>
      <c r="H2928" s="1353">
        <f t="shared" si="386"/>
        <v>0</v>
      </c>
      <c r="I2928" s="1340">
        <f t="shared" si="384"/>
        <v>5</v>
      </c>
      <c r="J2928" s="1335">
        <f t="shared" si="384"/>
        <v>0</v>
      </c>
      <c r="K2928" s="1342">
        <f t="shared" si="387"/>
        <v>0</v>
      </c>
    </row>
    <row r="2929" spans="1:11" ht="24.95" customHeight="1">
      <c r="A2929" s="1234" t="s">
        <v>2815</v>
      </c>
      <c r="B2929" s="1237" t="s">
        <v>3233</v>
      </c>
      <c r="C2929" s="1338">
        <v>3</v>
      </c>
      <c r="D2929" s="1338">
        <v>1</v>
      </c>
      <c r="E2929" s="1353">
        <f t="shared" si="385"/>
        <v>0.33333333333333331</v>
      </c>
      <c r="F2929" s="1338">
        <v>10</v>
      </c>
      <c r="G2929" s="1338">
        <v>3</v>
      </c>
      <c r="H2929" s="1353">
        <f t="shared" si="386"/>
        <v>0.3</v>
      </c>
      <c r="I2929" s="1340">
        <f t="shared" si="384"/>
        <v>13</v>
      </c>
      <c r="J2929" s="1335">
        <f t="shared" si="384"/>
        <v>4</v>
      </c>
      <c r="K2929" s="1342">
        <f t="shared" si="387"/>
        <v>0.30769230769230771</v>
      </c>
    </row>
    <row r="2930" spans="1:11" ht="24.95" customHeight="1">
      <c r="A2930" s="1234" t="s">
        <v>3581</v>
      </c>
      <c r="B2930" s="1237" t="s">
        <v>5515</v>
      </c>
      <c r="C2930" s="1338"/>
      <c r="D2930" s="1338"/>
      <c r="E2930" s="1353" t="e">
        <f t="shared" si="385"/>
        <v>#DIV/0!</v>
      </c>
      <c r="F2930" s="1338">
        <v>2</v>
      </c>
      <c r="G2930" s="1338"/>
      <c r="H2930" s="1353">
        <f t="shared" si="386"/>
        <v>0</v>
      </c>
      <c r="I2930" s="1340">
        <f t="shared" si="384"/>
        <v>2</v>
      </c>
      <c r="J2930" s="1335">
        <f t="shared" si="384"/>
        <v>0</v>
      </c>
      <c r="K2930" s="1342">
        <f t="shared" si="387"/>
        <v>0</v>
      </c>
    </row>
    <row r="2931" spans="1:11" ht="24.95" customHeight="1">
      <c r="A2931" s="456" t="s">
        <v>2817</v>
      </c>
      <c r="B2931" s="452" t="s">
        <v>2818</v>
      </c>
      <c r="C2931" s="1338">
        <v>3</v>
      </c>
      <c r="D2931" s="1338"/>
      <c r="E2931" s="1353">
        <f t="shared" si="385"/>
        <v>0</v>
      </c>
      <c r="F2931" s="1338">
        <v>2</v>
      </c>
      <c r="G2931" s="1338"/>
      <c r="H2931" s="1353">
        <f t="shared" si="386"/>
        <v>0</v>
      </c>
      <c r="I2931" s="1340">
        <f t="shared" si="384"/>
        <v>5</v>
      </c>
      <c r="J2931" s="1335">
        <f t="shared" si="384"/>
        <v>0</v>
      </c>
      <c r="K2931" s="1342">
        <f t="shared" si="387"/>
        <v>0</v>
      </c>
    </row>
    <row r="2932" spans="1:11" ht="24.95" customHeight="1">
      <c r="A2932" s="1235" t="s">
        <v>5311</v>
      </c>
      <c r="B2932" s="1236" t="s">
        <v>5312</v>
      </c>
      <c r="C2932" s="1338"/>
      <c r="D2932" s="1338"/>
      <c r="E2932" s="1353" t="e">
        <f t="shared" si="385"/>
        <v>#DIV/0!</v>
      </c>
      <c r="F2932" s="1338">
        <v>2</v>
      </c>
      <c r="G2932" s="1338"/>
      <c r="H2932" s="1353">
        <f t="shared" si="386"/>
        <v>0</v>
      </c>
      <c r="I2932" s="1340">
        <f t="shared" si="384"/>
        <v>2</v>
      </c>
      <c r="J2932" s="1335">
        <f t="shared" si="384"/>
        <v>0</v>
      </c>
      <c r="K2932" s="1342">
        <f t="shared" si="387"/>
        <v>0</v>
      </c>
    </row>
    <row r="2933" spans="1:11" ht="24.95" customHeight="1">
      <c r="A2933" s="456" t="s">
        <v>5516</v>
      </c>
      <c r="B2933" s="452" t="s">
        <v>5517</v>
      </c>
      <c r="C2933" s="1338"/>
      <c r="D2933" s="1338"/>
      <c r="E2933" s="1353" t="e">
        <f t="shared" si="385"/>
        <v>#DIV/0!</v>
      </c>
      <c r="F2933" s="1338">
        <v>2</v>
      </c>
      <c r="G2933" s="1338"/>
      <c r="H2933" s="1353">
        <f t="shared" si="386"/>
        <v>0</v>
      </c>
      <c r="I2933" s="1340">
        <f t="shared" si="384"/>
        <v>2</v>
      </c>
      <c r="J2933" s="1335">
        <f t="shared" si="384"/>
        <v>0</v>
      </c>
      <c r="K2933" s="1342">
        <f t="shared" si="387"/>
        <v>0</v>
      </c>
    </row>
    <row r="2934" spans="1:11" ht="24.95" customHeight="1">
      <c r="A2934" s="456" t="s">
        <v>3914</v>
      </c>
      <c r="B2934" s="452" t="s">
        <v>3915</v>
      </c>
      <c r="C2934" s="1338">
        <v>1000</v>
      </c>
      <c r="D2934" s="1338">
        <v>343</v>
      </c>
      <c r="E2934" s="1353">
        <f t="shared" si="385"/>
        <v>0.34300000000000003</v>
      </c>
      <c r="F2934" s="1338">
        <v>30</v>
      </c>
      <c r="G2934" s="1338">
        <v>12</v>
      </c>
      <c r="H2934" s="1353">
        <f t="shared" si="386"/>
        <v>0.4</v>
      </c>
      <c r="I2934" s="1340">
        <f t="shared" si="384"/>
        <v>1030</v>
      </c>
      <c r="J2934" s="1335">
        <f t="shared" si="384"/>
        <v>355</v>
      </c>
      <c r="K2934" s="1342">
        <f t="shared" si="387"/>
        <v>0.3446601941747573</v>
      </c>
    </row>
    <row r="2935" spans="1:11" ht="24.95" customHeight="1">
      <c r="A2935" s="456" t="s">
        <v>5518</v>
      </c>
      <c r="B2935" s="452" t="s">
        <v>5519</v>
      </c>
      <c r="C2935" s="1338">
        <v>5</v>
      </c>
      <c r="D2935" s="1338">
        <v>1</v>
      </c>
      <c r="E2935" s="1353">
        <f t="shared" si="385"/>
        <v>0.2</v>
      </c>
      <c r="F2935" s="1338">
        <v>2</v>
      </c>
      <c r="G2935" s="1338"/>
      <c r="H2935" s="1353">
        <f t="shared" si="386"/>
        <v>0</v>
      </c>
      <c r="I2935" s="1340">
        <f t="shared" si="384"/>
        <v>7</v>
      </c>
      <c r="J2935" s="1335">
        <f t="shared" si="384"/>
        <v>1</v>
      </c>
      <c r="K2935" s="1342">
        <f t="shared" si="387"/>
        <v>0.14285714285714285</v>
      </c>
    </row>
    <row r="2936" spans="1:11" ht="24.95" customHeight="1">
      <c r="A2936" s="456" t="s">
        <v>5520</v>
      </c>
      <c r="B2936" s="452" t="s">
        <v>5521</v>
      </c>
      <c r="C2936" s="1338"/>
      <c r="D2936" s="1338"/>
      <c r="E2936" s="1353" t="e">
        <f t="shared" si="385"/>
        <v>#DIV/0!</v>
      </c>
      <c r="F2936" s="1338"/>
      <c r="G2936" s="1338"/>
      <c r="H2936" s="1353" t="e">
        <f t="shared" si="386"/>
        <v>#DIV/0!</v>
      </c>
      <c r="I2936" s="1340">
        <f t="shared" si="384"/>
        <v>0</v>
      </c>
      <c r="J2936" s="1335">
        <f t="shared" si="384"/>
        <v>0</v>
      </c>
      <c r="K2936" s="1342" t="e">
        <f t="shared" si="387"/>
        <v>#DIV/0!</v>
      </c>
    </row>
    <row r="2937" spans="1:11" ht="24.95" customHeight="1">
      <c r="A2937" s="456" t="s">
        <v>5522</v>
      </c>
      <c r="B2937" s="452" t="s">
        <v>5523</v>
      </c>
      <c r="C2937" s="1338"/>
      <c r="D2937" s="1338"/>
      <c r="E2937" s="1353" t="e">
        <f t="shared" si="385"/>
        <v>#DIV/0!</v>
      </c>
      <c r="F2937" s="1338">
        <v>10</v>
      </c>
      <c r="G2937" s="1338">
        <v>5</v>
      </c>
      <c r="H2937" s="1353">
        <f t="shared" si="386"/>
        <v>0.5</v>
      </c>
      <c r="I2937" s="1340">
        <f t="shared" si="384"/>
        <v>10</v>
      </c>
      <c r="J2937" s="1335">
        <f t="shared" si="384"/>
        <v>5</v>
      </c>
      <c r="K2937" s="1342">
        <f t="shared" si="387"/>
        <v>0.5</v>
      </c>
    </row>
    <row r="2938" spans="1:11" ht="24.95" customHeight="1">
      <c r="A2938" s="456" t="s">
        <v>5524</v>
      </c>
      <c r="B2938" s="452" t="s">
        <v>5525</v>
      </c>
      <c r="C2938" s="1338"/>
      <c r="D2938" s="1338"/>
      <c r="E2938" s="1353" t="e">
        <f t="shared" si="385"/>
        <v>#DIV/0!</v>
      </c>
      <c r="F2938" s="1338">
        <v>1</v>
      </c>
      <c r="G2938" s="1338">
        <v>1</v>
      </c>
      <c r="H2938" s="1353">
        <f t="shared" si="386"/>
        <v>1</v>
      </c>
      <c r="I2938" s="1340">
        <f t="shared" si="384"/>
        <v>1</v>
      </c>
      <c r="J2938" s="1335">
        <f t="shared" si="384"/>
        <v>1</v>
      </c>
      <c r="K2938" s="1342">
        <f t="shared" si="387"/>
        <v>1</v>
      </c>
    </row>
    <row r="2939" spans="1:11" ht="24.95" customHeight="1">
      <c r="A2939" s="456" t="s">
        <v>5376</v>
      </c>
      <c r="B2939" s="452" t="s">
        <v>5526</v>
      </c>
      <c r="C2939" s="1338"/>
      <c r="D2939" s="1338"/>
      <c r="E2939" s="1353" t="e">
        <f t="shared" si="385"/>
        <v>#DIV/0!</v>
      </c>
      <c r="F2939" s="1338">
        <v>5</v>
      </c>
      <c r="G2939" s="1338"/>
      <c r="H2939" s="1353">
        <f t="shared" si="386"/>
        <v>0</v>
      </c>
      <c r="I2939" s="1340">
        <f t="shared" si="384"/>
        <v>5</v>
      </c>
      <c r="J2939" s="1335">
        <f t="shared" si="384"/>
        <v>0</v>
      </c>
      <c r="K2939" s="1342">
        <f t="shared" si="387"/>
        <v>0</v>
      </c>
    </row>
    <row r="2940" spans="1:11" ht="24.95" customHeight="1">
      <c r="A2940" s="456" t="s">
        <v>2429</v>
      </c>
      <c r="B2940" s="452" t="s">
        <v>2430</v>
      </c>
      <c r="C2940" s="1338">
        <v>1660</v>
      </c>
      <c r="D2940" s="1338">
        <v>780</v>
      </c>
      <c r="E2940" s="1353">
        <f t="shared" si="385"/>
        <v>0.46987951807228917</v>
      </c>
      <c r="F2940" s="1338">
        <v>2065</v>
      </c>
      <c r="G2940" s="1338">
        <f>63+206+168</f>
        <v>437</v>
      </c>
      <c r="H2940" s="1353">
        <f t="shared" si="386"/>
        <v>0.2116222760290557</v>
      </c>
      <c r="I2940" s="1340">
        <f t="shared" ref="I2940:J2971" si="388">+C2940+F2940</f>
        <v>3725</v>
      </c>
      <c r="J2940" s="1335">
        <f t="shared" si="388"/>
        <v>1217</v>
      </c>
      <c r="K2940" s="1342">
        <f t="shared" si="387"/>
        <v>0.32671140939597315</v>
      </c>
    </row>
    <row r="2941" spans="1:11" ht="24.95" customHeight="1">
      <c r="A2941" s="456" t="s">
        <v>5527</v>
      </c>
      <c r="B2941" s="452" t="s">
        <v>5528</v>
      </c>
      <c r="C2941" s="1338">
        <v>3</v>
      </c>
      <c r="D2941" s="1338"/>
      <c r="E2941" s="1353">
        <f t="shared" si="385"/>
        <v>0</v>
      </c>
      <c r="F2941" s="1338">
        <v>5</v>
      </c>
      <c r="G2941" s="1338"/>
      <c r="H2941" s="1353">
        <f t="shared" si="386"/>
        <v>0</v>
      </c>
      <c r="I2941" s="1340">
        <f t="shared" si="388"/>
        <v>8</v>
      </c>
      <c r="J2941" s="1335">
        <f t="shared" si="388"/>
        <v>0</v>
      </c>
      <c r="K2941" s="1342">
        <f t="shared" si="387"/>
        <v>0</v>
      </c>
    </row>
    <row r="2942" spans="1:11" ht="24.95" customHeight="1">
      <c r="A2942" s="456" t="s">
        <v>2860</v>
      </c>
      <c r="B2942" s="452" t="s">
        <v>5529</v>
      </c>
      <c r="C2942" s="1338">
        <v>20</v>
      </c>
      <c r="D2942" s="1338">
        <v>9</v>
      </c>
      <c r="E2942" s="1353">
        <f t="shared" si="385"/>
        <v>0.45</v>
      </c>
      <c r="F2942" s="1338">
        <v>10</v>
      </c>
      <c r="G2942" s="1338"/>
      <c r="H2942" s="1353">
        <f t="shared" si="386"/>
        <v>0</v>
      </c>
      <c r="I2942" s="1340">
        <f t="shared" si="388"/>
        <v>30</v>
      </c>
      <c r="J2942" s="1335">
        <f t="shared" si="388"/>
        <v>9</v>
      </c>
      <c r="K2942" s="1342">
        <f t="shared" si="387"/>
        <v>0.3</v>
      </c>
    </row>
    <row r="2943" spans="1:11" ht="24.95" customHeight="1">
      <c r="A2943" s="456" t="s">
        <v>2921</v>
      </c>
      <c r="B2943" s="452" t="s">
        <v>2922</v>
      </c>
      <c r="C2943" s="1338">
        <v>25</v>
      </c>
      <c r="D2943" s="1338">
        <v>64</v>
      </c>
      <c r="E2943" s="1353">
        <f t="shared" si="385"/>
        <v>2.56</v>
      </c>
      <c r="F2943" s="1338">
        <v>15</v>
      </c>
      <c r="G2943" s="1338">
        <f>3+68</f>
        <v>71</v>
      </c>
      <c r="H2943" s="1353">
        <f t="shared" si="386"/>
        <v>4.7333333333333334</v>
      </c>
      <c r="I2943" s="1340">
        <f t="shared" si="388"/>
        <v>40</v>
      </c>
      <c r="J2943" s="1335">
        <f t="shared" si="388"/>
        <v>135</v>
      </c>
      <c r="K2943" s="1342">
        <f t="shared" si="387"/>
        <v>3.375</v>
      </c>
    </row>
    <row r="2944" spans="1:11" ht="24.95" customHeight="1">
      <c r="A2944" s="456" t="s">
        <v>5530</v>
      </c>
      <c r="B2944" s="452" t="s">
        <v>5531</v>
      </c>
      <c r="C2944" s="1338"/>
      <c r="D2944" s="1338"/>
      <c r="E2944" s="1353" t="e">
        <f t="shared" si="385"/>
        <v>#DIV/0!</v>
      </c>
      <c r="F2944" s="1338">
        <v>1</v>
      </c>
      <c r="G2944" s="1338"/>
      <c r="H2944" s="1353">
        <f t="shared" si="386"/>
        <v>0</v>
      </c>
      <c r="I2944" s="1340">
        <f t="shared" si="388"/>
        <v>1</v>
      </c>
      <c r="J2944" s="1335">
        <f t="shared" si="388"/>
        <v>0</v>
      </c>
      <c r="K2944" s="1342">
        <f t="shared" si="387"/>
        <v>0</v>
      </c>
    </row>
    <row r="2945" spans="1:11" ht="24.95" customHeight="1">
      <c r="A2945" s="456" t="s">
        <v>5532</v>
      </c>
      <c r="B2945" s="452" t="s">
        <v>5533</v>
      </c>
      <c r="C2945" s="1338">
        <v>520</v>
      </c>
      <c r="D2945" s="1338">
        <v>257</v>
      </c>
      <c r="E2945" s="1353">
        <f t="shared" si="385"/>
        <v>0.49423076923076925</v>
      </c>
      <c r="F2945" s="1338">
        <v>140</v>
      </c>
      <c r="G2945" s="1338">
        <v>55</v>
      </c>
      <c r="H2945" s="1353">
        <f t="shared" si="386"/>
        <v>0.39285714285714285</v>
      </c>
      <c r="I2945" s="1340">
        <f t="shared" si="388"/>
        <v>660</v>
      </c>
      <c r="J2945" s="1335">
        <f t="shared" si="388"/>
        <v>312</v>
      </c>
      <c r="K2945" s="1342">
        <f t="shared" si="387"/>
        <v>0.47272727272727272</v>
      </c>
    </row>
    <row r="2946" spans="1:11" ht="24.95" customHeight="1">
      <c r="A2946" s="456" t="s">
        <v>5534</v>
      </c>
      <c r="B2946" s="452" t="s">
        <v>5535</v>
      </c>
      <c r="C2946" s="1338">
        <v>5</v>
      </c>
      <c r="D2946" s="1338"/>
      <c r="E2946" s="1353">
        <f t="shared" si="385"/>
        <v>0</v>
      </c>
      <c r="F2946" s="1338"/>
      <c r="G2946" s="1338"/>
      <c r="H2946" s="1353" t="e">
        <f t="shared" si="386"/>
        <v>#DIV/0!</v>
      </c>
      <c r="I2946" s="1340">
        <f t="shared" si="388"/>
        <v>5</v>
      </c>
      <c r="J2946" s="1335">
        <f t="shared" si="388"/>
        <v>0</v>
      </c>
      <c r="K2946" s="1342">
        <f t="shared" si="387"/>
        <v>0</v>
      </c>
    </row>
    <row r="2947" spans="1:11" ht="24.95" customHeight="1">
      <c r="A2947" s="456" t="s">
        <v>5391</v>
      </c>
      <c r="B2947" s="452" t="s">
        <v>5392</v>
      </c>
      <c r="C2947" s="1338"/>
      <c r="D2947" s="1338"/>
      <c r="E2947" s="1353" t="e">
        <f t="shared" si="385"/>
        <v>#DIV/0!</v>
      </c>
      <c r="F2947" s="1338">
        <v>15</v>
      </c>
      <c r="G2947" s="1338">
        <v>4</v>
      </c>
      <c r="H2947" s="1353">
        <f t="shared" si="386"/>
        <v>0.26666666666666666</v>
      </c>
      <c r="I2947" s="1340">
        <f t="shared" si="388"/>
        <v>15</v>
      </c>
      <c r="J2947" s="1335">
        <f t="shared" si="388"/>
        <v>4</v>
      </c>
      <c r="K2947" s="1342">
        <f t="shared" si="387"/>
        <v>0.26666666666666666</v>
      </c>
    </row>
    <row r="2948" spans="1:11" ht="24.95" customHeight="1">
      <c r="A2948" s="456" t="s">
        <v>5536</v>
      </c>
      <c r="B2948" s="452" t="s">
        <v>5537</v>
      </c>
      <c r="C2948" s="1338"/>
      <c r="D2948" s="1338"/>
      <c r="E2948" s="1353" t="e">
        <f t="shared" si="385"/>
        <v>#DIV/0!</v>
      </c>
      <c r="F2948" s="1338">
        <v>2</v>
      </c>
      <c r="G2948" s="1338">
        <v>1</v>
      </c>
      <c r="H2948" s="1353">
        <f t="shared" si="386"/>
        <v>0.5</v>
      </c>
      <c r="I2948" s="1340">
        <f t="shared" si="388"/>
        <v>2</v>
      </c>
      <c r="J2948" s="1335">
        <f t="shared" si="388"/>
        <v>1</v>
      </c>
      <c r="K2948" s="1342">
        <f t="shared" si="387"/>
        <v>0.5</v>
      </c>
    </row>
    <row r="2949" spans="1:11" ht="24.95" customHeight="1">
      <c r="A2949" s="1235" t="s">
        <v>5538</v>
      </c>
      <c r="B2949" s="1236" t="s">
        <v>5539</v>
      </c>
      <c r="C2949" s="1338">
        <v>15</v>
      </c>
      <c r="D2949" s="1338">
        <v>4</v>
      </c>
      <c r="E2949" s="1353">
        <f t="shared" si="385"/>
        <v>0.26666666666666666</v>
      </c>
      <c r="F2949" s="1338">
        <v>30</v>
      </c>
      <c r="G2949" s="1338">
        <v>2</v>
      </c>
      <c r="H2949" s="1353">
        <f t="shared" si="386"/>
        <v>6.6666666666666666E-2</v>
      </c>
      <c r="I2949" s="1340">
        <f t="shared" si="388"/>
        <v>45</v>
      </c>
      <c r="J2949" s="1335">
        <f t="shared" si="388"/>
        <v>6</v>
      </c>
      <c r="K2949" s="1342">
        <f t="shared" si="387"/>
        <v>0.13333333333333333</v>
      </c>
    </row>
    <row r="2950" spans="1:11" ht="24.95" customHeight="1">
      <c r="A2950" s="1235" t="s">
        <v>5540</v>
      </c>
      <c r="B2950" s="1236" t="s">
        <v>5541</v>
      </c>
      <c r="C2950" s="1338">
        <v>3</v>
      </c>
      <c r="D2950" s="1338"/>
      <c r="E2950" s="1353">
        <f t="shared" si="385"/>
        <v>0</v>
      </c>
      <c r="F2950" s="1338">
        <v>2</v>
      </c>
      <c r="G2950" s="1338"/>
      <c r="H2950" s="1353">
        <f t="shared" si="386"/>
        <v>0</v>
      </c>
      <c r="I2950" s="1340">
        <f t="shared" si="388"/>
        <v>5</v>
      </c>
      <c r="J2950" s="1335">
        <f t="shared" si="388"/>
        <v>0</v>
      </c>
      <c r="K2950" s="1342">
        <f t="shared" si="387"/>
        <v>0</v>
      </c>
    </row>
    <row r="2951" spans="1:11" ht="24.95" customHeight="1">
      <c r="A2951" s="456" t="s">
        <v>5542</v>
      </c>
      <c r="B2951" s="452" t="s">
        <v>5543</v>
      </c>
      <c r="C2951" s="1338"/>
      <c r="D2951" s="1338"/>
      <c r="E2951" s="1353" t="e">
        <f t="shared" si="385"/>
        <v>#DIV/0!</v>
      </c>
      <c r="F2951" s="1338">
        <v>2</v>
      </c>
      <c r="G2951" s="1338"/>
      <c r="H2951" s="1353">
        <f t="shared" si="386"/>
        <v>0</v>
      </c>
      <c r="I2951" s="1340">
        <f t="shared" si="388"/>
        <v>2</v>
      </c>
      <c r="J2951" s="1335">
        <f t="shared" si="388"/>
        <v>0</v>
      </c>
      <c r="K2951" s="1342">
        <f t="shared" si="387"/>
        <v>0</v>
      </c>
    </row>
    <row r="2952" spans="1:11" ht="24.95" customHeight="1">
      <c r="A2952" s="456" t="s">
        <v>5399</v>
      </c>
      <c r="B2952" s="452" t="s">
        <v>5400</v>
      </c>
      <c r="C2952" s="1338"/>
      <c r="D2952" s="1338"/>
      <c r="E2952" s="1353" t="e">
        <f t="shared" si="385"/>
        <v>#DIV/0!</v>
      </c>
      <c r="F2952" s="1338"/>
      <c r="G2952" s="1338">
        <v>1</v>
      </c>
      <c r="H2952" s="1353" t="e">
        <f t="shared" si="386"/>
        <v>#DIV/0!</v>
      </c>
      <c r="I2952" s="1340">
        <f t="shared" si="388"/>
        <v>0</v>
      </c>
      <c r="J2952" s="1335">
        <f t="shared" si="388"/>
        <v>1</v>
      </c>
      <c r="K2952" s="1342" t="e">
        <f t="shared" si="387"/>
        <v>#DIV/0!</v>
      </c>
    </row>
    <row r="2953" spans="1:11" ht="24.95" customHeight="1">
      <c r="A2953" s="456" t="s">
        <v>5544</v>
      </c>
      <c r="B2953" s="1236" t="s">
        <v>5545</v>
      </c>
      <c r="C2953" s="1338">
        <v>25</v>
      </c>
      <c r="D2953" s="1338">
        <v>10</v>
      </c>
      <c r="E2953" s="1353">
        <f t="shared" si="385"/>
        <v>0.4</v>
      </c>
      <c r="F2953" s="1338">
        <v>3</v>
      </c>
      <c r="G2953" s="1338">
        <v>2</v>
      </c>
      <c r="H2953" s="1353">
        <f t="shared" si="386"/>
        <v>0.66666666666666663</v>
      </c>
      <c r="I2953" s="1340">
        <f t="shared" si="388"/>
        <v>28</v>
      </c>
      <c r="J2953" s="1335">
        <f t="shared" si="388"/>
        <v>12</v>
      </c>
      <c r="K2953" s="1342">
        <f t="shared" si="387"/>
        <v>0.42857142857142855</v>
      </c>
    </row>
    <row r="2954" spans="1:11" ht="24.95" customHeight="1">
      <c r="A2954" s="456" t="s">
        <v>5546</v>
      </c>
      <c r="B2954" s="1236" t="s">
        <v>5547</v>
      </c>
      <c r="C2954" s="1338">
        <v>10</v>
      </c>
      <c r="D2954" s="1338">
        <v>2</v>
      </c>
      <c r="E2954" s="1353">
        <f t="shared" si="385"/>
        <v>0.2</v>
      </c>
      <c r="F2954" s="1338">
        <v>10</v>
      </c>
      <c r="G2954" s="1338">
        <v>2</v>
      </c>
      <c r="H2954" s="1353">
        <f t="shared" si="386"/>
        <v>0.2</v>
      </c>
      <c r="I2954" s="1340">
        <f t="shared" si="388"/>
        <v>20</v>
      </c>
      <c r="J2954" s="1335">
        <f t="shared" si="388"/>
        <v>4</v>
      </c>
      <c r="K2954" s="1342">
        <f t="shared" si="387"/>
        <v>0.2</v>
      </c>
    </row>
    <row r="2955" spans="1:11" ht="24.95" customHeight="1">
      <c r="A2955" s="456" t="s">
        <v>5548</v>
      </c>
      <c r="B2955" s="452" t="s">
        <v>5549</v>
      </c>
      <c r="C2955" s="1338"/>
      <c r="D2955" s="1338"/>
      <c r="E2955" s="1353" t="e">
        <f t="shared" si="385"/>
        <v>#DIV/0!</v>
      </c>
      <c r="F2955" s="1338"/>
      <c r="G2955" s="1338"/>
      <c r="H2955" s="1353" t="e">
        <f t="shared" si="386"/>
        <v>#DIV/0!</v>
      </c>
      <c r="I2955" s="1340">
        <f t="shared" si="388"/>
        <v>0</v>
      </c>
      <c r="J2955" s="1335">
        <f t="shared" si="388"/>
        <v>0</v>
      </c>
      <c r="K2955" s="1342" t="e">
        <f t="shared" si="387"/>
        <v>#DIV/0!</v>
      </c>
    </row>
    <row r="2956" spans="1:11" ht="24.95" customHeight="1">
      <c r="A2956" s="456" t="s">
        <v>5550</v>
      </c>
      <c r="B2956" s="452" t="s">
        <v>5551</v>
      </c>
      <c r="C2956" s="1338"/>
      <c r="D2956" s="1338"/>
      <c r="E2956" s="1353" t="e">
        <f t="shared" si="385"/>
        <v>#DIV/0!</v>
      </c>
      <c r="F2956" s="1338"/>
      <c r="G2956" s="1338"/>
      <c r="H2956" s="1353" t="e">
        <f t="shared" si="386"/>
        <v>#DIV/0!</v>
      </c>
      <c r="I2956" s="1340">
        <f t="shared" si="388"/>
        <v>0</v>
      </c>
      <c r="J2956" s="1335">
        <f t="shared" si="388"/>
        <v>0</v>
      </c>
      <c r="K2956" s="1342" t="e">
        <f t="shared" si="387"/>
        <v>#DIV/0!</v>
      </c>
    </row>
    <row r="2957" spans="1:11" ht="24.95" customHeight="1">
      <c r="A2957" s="456" t="s">
        <v>5552</v>
      </c>
      <c r="B2957" s="452" t="s">
        <v>5553</v>
      </c>
      <c r="C2957" s="1338">
        <v>5</v>
      </c>
      <c r="D2957" s="1338">
        <v>3</v>
      </c>
      <c r="E2957" s="1353">
        <f t="shared" si="385"/>
        <v>0.6</v>
      </c>
      <c r="F2957" s="1338">
        <v>15</v>
      </c>
      <c r="G2957" s="1338">
        <v>5</v>
      </c>
      <c r="H2957" s="1353">
        <f t="shared" si="386"/>
        <v>0.33333333333333331</v>
      </c>
      <c r="I2957" s="1340">
        <f t="shared" si="388"/>
        <v>20</v>
      </c>
      <c r="J2957" s="1335">
        <f t="shared" si="388"/>
        <v>8</v>
      </c>
      <c r="K2957" s="1342">
        <f t="shared" si="387"/>
        <v>0.4</v>
      </c>
    </row>
    <row r="2958" spans="1:11" ht="24.95" customHeight="1">
      <c r="A2958" s="456" t="s">
        <v>5554</v>
      </c>
      <c r="B2958" s="452" t="s">
        <v>5555</v>
      </c>
      <c r="C2958" s="1338"/>
      <c r="D2958" s="1338"/>
      <c r="E2958" s="1353" t="e">
        <f t="shared" si="385"/>
        <v>#DIV/0!</v>
      </c>
      <c r="F2958" s="1338">
        <v>50</v>
      </c>
      <c r="G2958" s="1338">
        <v>22</v>
      </c>
      <c r="H2958" s="1353">
        <f t="shared" si="386"/>
        <v>0.44</v>
      </c>
      <c r="I2958" s="1340">
        <f t="shared" si="388"/>
        <v>50</v>
      </c>
      <c r="J2958" s="1335">
        <f t="shared" si="388"/>
        <v>22</v>
      </c>
      <c r="K2958" s="1342">
        <f t="shared" si="387"/>
        <v>0.44</v>
      </c>
    </row>
    <row r="2959" spans="1:11" ht="24.95" customHeight="1">
      <c r="A2959" s="456" t="s">
        <v>5556</v>
      </c>
      <c r="B2959" s="452" t="s">
        <v>5557</v>
      </c>
      <c r="C2959" s="1338">
        <v>480</v>
      </c>
      <c r="D2959" s="1338">
        <v>220</v>
      </c>
      <c r="E2959" s="1353">
        <f t="shared" si="385"/>
        <v>0.45833333333333331</v>
      </c>
      <c r="F2959" s="1338">
        <v>20</v>
      </c>
      <c r="G2959" s="1338">
        <v>5</v>
      </c>
      <c r="H2959" s="1353">
        <f t="shared" si="386"/>
        <v>0.25</v>
      </c>
      <c r="I2959" s="1340">
        <f t="shared" si="388"/>
        <v>500</v>
      </c>
      <c r="J2959" s="1335">
        <f t="shared" si="388"/>
        <v>225</v>
      </c>
      <c r="K2959" s="1342">
        <f t="shared" si="387"/>
        <v>0.45</v>
      </c>
    </row>
    <row r="2960" spans="1:11" ht="24.95" customHeight="1">
      <c r="A2960" s="456" t="s">
        <v>5558</v>
      </c>
      <c r="B2960" s="452" t="s">
        <v>5559</v>
      </c>
      <c r="C2960" s="1338"/>
      <c r="D2960" s="1338"/>
      <c r="E2960" s="1353" t="e">
        <f t="shared" si="385"/>
        <v>#DIV/0!</v>
      </c>
      <c r="F2960" s="1338"/>
      <c r="G2960" s="1338"/>
      <c r="H2960" s="1353" t="e">
        <f t="shared" si="386"/>
        <v>#DIV/0!</v>
      </c>
      <c r="I2960" s="1340">
        <f t="shared" si="388"/>
        <v>0</v>
      </c>
      <c r="J2960" s="1335">
        <f t="shared" si="388"/>
        <v>0</v>
      </c>
      <c r="K2960" s="1342" t="e">
        <f t="shared" si="387"/>
        <v>#DIV/0!</v>
      </c>
    </row>
    <row r="2961" spans="1:11" ht="24.95" customHeight="1">
      <c r="A2961" s="456" t="s">
        <v>5468</v>
      </c>
      <c r="B2961" s="1337" t="s">
        <v>5560</v>
      </c>
      <c r="C2961" s="1338"/>
      <c r="D2961" s="1338"/>
      <c r="E2961" s="1353" t="e">
        <f t="shared" si="385"/>
        <v>#DIV/0!</v>
      </c>
      <c r="F2961" s="1338">
        <v>6</v>
      </c>
      <c r="G2961" s="1338"/>
      <c r="H2961" s="1353">
        <f t="shared" si="386"/>
        <v>0</v>
      </c>
      <c r="I2961" s="1359">
        <f t="shared" si="388"/>
        <v>6</v>
      </c>
      <c r="J2961" s="1335">
        <f t="shared" si="388"/>
        <v>0</v>
      </c>
      <c r="K2961" s="1342">
        <f t="shared" si="387"/>
        <v>0</v>
      </c>
    </row>
    <row r="2962" spans="1:11" ht="24.95" customHeight="1">
      <c r="A2962" s="456" t="s">
        <v>5561</v>
      </c>
      <c r="B2962" s="452" t="s">
        <v>5562</v>
      </c>
      <c r="C2962" s="1338"/>
      <c r="D2962" s="1338"/>
      <c r="E2962" s="1353" t="e">
        <f t="shared" si="385"/>
        <v>#DIV/0!</v>
      </c>
      <c r="F2962" s="1338"/>
      <c r="G2962" s="1338"/>
      <c r="H2962" s="1353" t="e">
        <f t="shared" si="386"/>
        <v>#DIV/0!</v>
      </c>
      <c r="I2962" s="1340">
        <f t="shared" si="388"/>
        <v>0</v>
      </c>
      <c r="J2962" s="1335">
        <f t="shared" si="388"/>
        <v>0</v>
      </c>
      <c r="K2962" s="1342" t="e">
        <f t="shared" si="387"/>
        <v>#DIV/0!</v>
      </c>
    </row>
    <row r="2963" spans="1:11" ht="24.95" customHeight="1">
      <c r="A2963" s="1235" t="s">
        <v>5563</v>
      </c>
      <c r="B2963" s="1236" t="s">
        <v>5564</v>
      </c>
      <c r="C2963" s="1338"/>
      <c r="D2963" s="1338"/>
      <c r="E2963" s="1353" t="e">
        <f t="shared" si="385"/>
        <v>#DIV/0!</v>
      </c>
      <c r="F2963" s="1338"/>
      <c r="G2963" s="1338"/>
      <c r="H2963" s="1353" t="e">
        <f t="shared" si="386"/>
        <v>#DIV/0!</v>
      </c>
      <c r="I2963" s="1340">
        <f t="shared" si="388"/>
        <v>0</v>
      </c>
      <c r="J2963" s="1335">
        <f t="shared" si="388"/>
        <v>0</v>
      </c>
      <c r="K2963" s="1342" t="e">
        <f t="shared" si="387"/>
        <v>#DIV/0!</v>
      </c>
    </row>
    <row r="2964" spans="1:11" ht="24.95" customHeight="1">
      <c r="A2964" s="1234" t="s">
        <v>3284</v>
      </c>
      <c r="B2964" s="1237" t="s">
        <v>3285</v>
      </c>
      <c r="C2964" s="1338"/>
      <c r="D2964" s="1338"/>
      <c r="E2964" s="1353" t="e">
        <f t="shared" si="385"/>
        <v>#DIV/0!</v>
      </c>
      <c r="F2964" s="1338"/>
      <c r="G2964" s="1338"/>
      <c r="H2964" s="1353" t="e">
        <f t="shared" si="386"/>
        <v>#DIV/0!</v>
      </c>
      <c r="I2964" s="1340">
        <f t="shared" si="388"/>
        <v>0</v>
      </c>
      <c r="J2964" s="1335">
        <f t="shared" si="388"/>
        <v>0</v>
      </c>
      <c r="K2964" s="1342" t="e">
        <f t="shared" si="387"/>
        <v>#DIV/0!</v>
      </c>
    </row>
    <row r="2965" spans="1:11" ht="24.95" customHeight="1">
      <c r="A2965" s="456" t="s">
        <v>2439</v>
      </c>
      <c r="B2965" s="1236" t="s">
        <v>2440</v>
      </c>
      <c r="C2965" s="1338">
        <v>3</v>
      </c>
      <c r="D2965" s="1338"/>
      <c r="E2965" s="1353">
        <f t="shared" si="385"/>
        <v>0</v>
      </c>
      <c r="F2965" s="1338">
        <v>1490</v>
      </c>
      <c r="G2965" s="1338">
        <v>583</v>
      </c>
      <c r="H2965" s="1353">
        <f t="shared" si="386"/>
        <v>0.39127516778523491</v>
      </c>
      <c r="I2965" s="1340">
        <f t="shared" si="388"/>
        <v>1493</v>
      </c>
      <c r="J2965" s="1335">
        <f t="shared" si="388"/>
        <v>583</v>
      </c>
      <c r="K2965" s="1342">
        <f t="shared" si="387"/>
        <v>0.39048894842598797</v>
      </c>
    </row>
    <row r="2966" spans="1:11" ht="24.95" customHeight="1">
      <c r="A2966" s="456" t="s">
        <v>5565</v>
      </c>
      <c r="B2966" s="452" t="s">
        <v>5566</v>
      </c>
      <c r="C2966" s="1338"/>
      <c r="D2966" s="1338"/>
      <c r="E2966" s="1353" t="e">
        <f t="shared" si="385"/>
        <v>#DIV/0!</v>
      </c>
      <c r="F2966" s="1338">
        <v>2</v>
      </c>
      <c r="G2966" s="1338"/>
      <c r="H2966" s="1353">
        <f t="shared" si="386"/>
        <v>0</v>
      </c>
      <c r="I2966" s="1340">
        <f t="shared" si="388"/>
        <v>2</v>
      </c>
      <c r="J2966" s="1335">
        <f t="shared" si="388"/>
        <v>0</v>
      </c>
      <c r="K2966" s="1342">
        <f t="shared" si="387"/>
        <v>0</v>
      </c>
    </row>
    <row r="2967" spans="1:11" ht="24.95" customHeight="1">
      <c r="A2967" s="456" t="s">
        <v>5567</v>
      </c>
      <c r="B2967" s="452" t="s">
        <v>5568</v>
      </c>
      <c r="C2967" s="1338">
        <v>1</v>
      </c>
      <c r="D2967" s="1338">
        <v>1</v>
      </c>
      <c r="E2967" s="1353">
        <f t="shared" si="385"/>
        <v>1</v>
      </c>
      <c r="F2967" s="1338"/>
      <c r="G2967" s="1338"/>
      <c r="H2967" s="1353" t="e">
        <f t="shared" si="386"/>
        <v>#DIV/0!</v>
      </c>
      <c r="I2967" s="1340">
        <f t="shared" si="388"/>
        <v>1</v>
      </c>
      <c r="J2967" s="1335">
        <f t="shared" si="388"/>
        <v>1</v>
      </c>
      <c r="K2967" s="1342">
        <f t="shared" si="387"/>
        <v>1</v>
      </c>
    </row>
    <row r="2968" spans="1:11" ht="24.95" customHeight="1">
      <c r="A2968" s="1235" t="s">
        <v>5569</v>
      </c>
      <c r="B2968" s="1236" t="s">
        <v>5570</v>
      </c>
      <c r="C2968" s="1338">
        <v>300</v>
      </c>
      <c r="D2968" s="1338">
        <v>82</v>
      </c>
      <c r="E2968" s="1353">
        <f t="shared" si="385"/>
        <v>0.27333333333333332</v>
      </c>
      <c r="F2968" s="1338">
        <v>6</v>
      </c>
      <c r="G2968" s="1338">
        <v>3</v>
      </c>
      <c r="H2968" s="1353">
        <f t="shared" si="386"/>
        <v>0.5</v>
      </c>
      <c r="I2968" s="1340">
        <f t="shared" si="388"/>
        <v>306</v>
      </c>
      <c r="J2968" s="1335">
        <f t="shared" si="388"/>
        <v>85</v>
      </c>
      <c r="K2968" s="1342">
        <f t="shared" si="387"/>
        <v>0.27777777777777779</v>
      </c>
    </row>
    <row r="2969" spans="1:11" ht="24.95" customHeight="1">
      <c r="A2969" s="1235" t="s">
        <v>3851</v>
      </c>
      <c r="B2969" s="1236" t="s">
        <v>3852</v>
      </c>
      <c r="C2969" s="1338"/>
      <c r="D2969" s="1338"/>
      <c r="E2969" s="1353" t="e">
        <f t="shared" si="385"/>
        <v>#DIV/0!</v>
      </c>
      <c r="F2969" s="1338">
        <v>1</v>
      </c>
      <c r="G2969" s="1338"/>
      <c r="H2969" s="1353">
        <f t="shared" si="386"/>
        <v>0</v>
      </c>
      <c r="I2969" s="1340">
        <f t="shared" si="388"/>
        <v>1</v>
      </c>
      <c r="J2969" s="1335">
        <f t="shared" si="388"/>
        <v>0</v>
      </c>
      <c r="K2969" s="1342">
        <f t="shared" si="387"/>
        <v>0</v>
      </c>
    </row>
    <row r="2970" spans="1:11" ht="24.95" customHeight="1">
      <c r="A2970" s="1235" t="s">
        <v>3039</v>
      </c>
      <c r="B2970" s="1236" t="s">
        <v>5571</v>
      </c>
      <c r="C2970" s="1338"/>
      <c r="D2970" s="1338"/>
      <c r="E2970" s="1353" t="e">
        <f t="shared" si="385"/>
        <v>#DIV/0!</v>
      </c>
      <c r="F2970" s="1338">
        <v>35</v>
      </c>
      <c r="G2970" s="1338">
        <v>36</v>
      </c>
      <c r="H2970" s="1353">
        <f t="shared" si="386"/>
        <v>1.0285714285714285</v>
      </c>
      <c r="I2970" s="1340">
        <f t="shared" si="388"/>
        <v>35</v>
      </c>
      <c r="J2970" s="1335">
        <f t="shared" si="388"/>
        <v>36</v>
      </c>
      <c r="K2970" s="1342">
        <f t="shared" si="387"/>
        <v>1.0285714285714285</v>
      </c>
    </row>
    <row r="2971" spans="1:11" ht="24.95" customHeight="1">
      <c r="A2971" s="456" t="s">
        <v>2469</v>
      </c>
      <c r="B2971" s="452" t="s">
        <v>2470</v>
      </c>
      <c r="C2971" s="1338"/>
      <c r="D2971" s="1338"/>
      <c r="E2971" s="1353" t="e">
        <f t="shared" si="385"/>
        <v>#DIV/0!</v>
      </c>
      <c r="F2971" s="1338">
        <v>160</v>
      </c>
      <c r="G2971" s="1338">
        <v>53</v>
      </c>
      <c r="H2971" s="1353">
        <f t="shared" si="386"/>
        <v>0.33124999999999999</v>
      </c>
      <c r="I2971" s="1340">
        <f t="shared" si="388"/>
        <v>160</v>
      </c>
      <c r="J2971" s="1335">
        <f t="shared" si="388"/>
        <v>53</v>
      </c>
      <c r="K2971" s="1342">
        <f t="shared" si="387"/>
        <v>0.33124999999999999</v>
      </c>
    </row>
    <row r="2972" spans="1:11" ht="24.95" customHeight="1">
      <c r="A2972" s="456" t="s">
        <v>2904</v>
      </c>
      <c r="B2972" s="452" t="s">
        <v>2905</v>
      </c>
      <c r="C2972" s="1338"/>
      <c r="D2972" s="1338"/>
      <c r="E2972" s="1353" t="e">
        <f t="shared" si="385"/>
        <v>#DIV/0!</v>
      </c>
      <c r="F2972" s="1338">
        <v>5</v>
      </c>
      <c r="G2972" s="1338"/>
      <c r="H2972" s="1353">
        <f t="shared" si="386"/>
        <v>0</v>
      </c>
      <c r="I2972" s="1340">
        <f t="shared" ref="I2972:J2995" si="389">+C2972+F2972</f>
        <v>5</v>
      </c>
      <c r="J2972" s="1335">
        <f t="shared" si="389"/>
        <v>0</v>
      </c>
      <c r="K2972" s="1342">
        <f t="shared" si="387"/>
        <v>0</v>
      </c>
    </row>
    <row r="2973" spans="1:11" ht="24.95" customHeight="1">
      <c r="A2973" s="456" t="s">
        <v>2906</v>
      </c>
      <c r="B2973" s="452" t="s">
        <v>2907</v>
      </c>
      <c r="C2973" s="1338"/>
      <c r="D2973" s="1338"/>
      <c r="E2973" s="1353" t="e">
        <f t="shared" ref="E2973:E2996" si="390">+D2973/C2973</f>
        <v>#DIV/0!</v>
      </c>
      <c r="F2973" s="1338">
        <v>2</v>
      </c>
      <c r="G2973" s="1338"/>
      <c r="H2973" s="1353">
        <f t="shared" ref="H2973:H2996" si="391">+G2973/F2973</f>
        <v>0</v>
      </c>
      <c r="I2973" s="1340">
        <f t="shared" si="389"/>
        <v>2</v>
      </c>
      <c r="J2973" s="1335">
        <f t="shared" si="389"/>
        <v>0</v>
      </c>
      <c r="K2973" s="1342">
        <f t="shared" ref="K2973:K2996" si="392">+J2973/I2973</f>
        <v>0</v>
      </c>
    </row>
    <row r="2974" spans="1:11" ht="24.95" customHeight="1">
      <c r="A2974" s="456" t="s">
        <v>2908</v>
      </c>
      <c r="B2974" s="452" t="s">
        <v>3712</v>
      </c>
      <c r="C2974" s="1338"/>
      <c r="D2974" s="1338"/>
      <c r="E2974" s="1353" t="e">
        <f t="shared" si="390"/>
        <v>#DIV/0!</v>
      </c>
      <c r="F2974" s="1338">
        <v>15</v>
      </c>
      <c r="G2974" s="1338"/>
      <c r="H2974" s="1353">
        <f t="shared" si="391"/>
        <v>0</v>
      </c>
      <c r="I2974" s="1340">
        <f t="shared" si="389"/>
        <v>15</v>
      </c>
      <c r="J2974" s="1335">
        <f t="shared" si="389"/>
        <v>0</v>
      </c>
      <c r="K2974" s="1342">
        <f t="shared" si="392"/>
        <v>0</v>
      </c>
    </row>
    <row r="2975" spans="1:11" ht="24.95" customHeight="1">
      <c r="A2975" s="456" t="s">
        <v>2615</v>
      </c>
      <c r="B2975" s="452" t="s">
        <v>3200</v>
      </c>
      <c r="C2975" s="1338"/>
      <c r="D2975" s="1338"/>
      <c r="E2975" s="1353" t="e">
        <f t="shared" si="390"/>
        <v>#DIV/0!</v>
      </c>
      <c r="F2975" s="1338">
        <v>600</v>
      </c>
      <c r="G2975" s="1338">
        <v>610</v>
      </c>
      <c r="H2975" s="1353">
        <f t="shared" si="391"/>
        <v>1.0166666666666666</v>
      </c>
      <c r="I2975" s="1340">
        <f t="shared" si="389"/>
        <v>600</v>
      </c>
      <c r="J2975" s="1335">
        <f t="shared" si="389"/>
        <v>610</v>
      </c>
      <c r="K2975" s="1342">
        <f t="shared" si="392"/>
        <v>1.0166666666666666</v>
      </c>
    </row>
    <row r="2976" spans="1:11" ht="24.95" customHeight="1">
      <c r="A2976" s="1235" t="s">
        <v>5572</v>
      </c>
      <c r="B2976" s="1236" t="s">
        <v>5573</v>
      </c>
      <c r="C2976" s="1338"/>
      <c r="D2976" s="1338"/>
      <c r="E2976" s="1353" t="e">
        <f t="shared" si="390"/>
        <v>#DIV/0!</v>
      </c>
      <c r="F2976" s="1338"/>
      <c r="G2976" s="1338"/>
      <c r="H2976" s="1353" t="e">
        <f t="shared" si="391"/>
        <v>#DIV/0!</v>
      </c>
      <c r="I2976" s="1340">
        <f t="shared" si="389"/>
        <v>0</v>
      </c>
      <c r="J2976" s="1335">
        <f t="shared" si="389"/>
        <v>0</v>
      </c>
      <c r="K2976" s="1342" t="e">
        <f t="shared" si="392"/>
        <v>#DIV/0!</v>
      </c>
    </row>
    <row r="2977" spans="1:11" ht="24.95" customHeight="1">
      <c r="A2977" s="1235" t="s">
        <v>2959</v>
      </c>
      <c r="B2977" s="452" t="s">
        <v>2960</v>
      </c>
      <c r="C2977" s="1338"/>
      <c r="D2977" s="1338"/>
      <c r="E2977" s="1353" t="e">
        <f t="shared" si="390"/>
        <v>#DIV/0!</v>
      </c>
      <c r="F2977" s="1338">
        <v>5</v>
      </c>
      <c r="G2977" s="1338"/>
      <c r="H2977" s="1353">
        <f t="shared" si="391"/>
        <v>0</v>
      </c>
      <c r="I2977" s="1340">
        <f t="shared" si="389"/>
        <v>5</v>
      </c>
      <c r="J2977" s="1335">
        <f t="shared" si="389"/>
        <v>0</v>
      </c>
      <c r="K2977" s="1342">
        <f t="shared" si="392"/>
        <v>0</v>
      </c>
    </row>
    <row r="2978" spans="1:11" ht="24.95" customHeight="1">
      <c r="A2978" s="456" t="s">
        <v>2327</v>
      </c>
      <c r="B2978" s="452" t="s">
        <v>2328</v>
      </c>
      <c r="C2978" s="1338">
        <v>5</v>
      </c>
      <c r="D2978" s="1338"/>
      <c r="E2978" s="1353">
        <f t="shared" si="390"/>
        <v>0</v>
      </c>
      <c r="F2978" s="1338">
        <v>30</v>
      </c>
      <c r="G2978" s="1338">
        <v>4</v>
      </c>
      <c r="H2978" s="1353">
        <f t="shared" si="391"/>
        <v>0.13333333333333333</v>
      </c>
      <c r="I2978" s="1340">
        <f t="shared" si="389"/>
        <v>35</v>
      </c>
      <c r="J2978" s="1335">
        <f t="shared" si="389"/>
        <v>4</v>
      </c>
      <c r="K2978" s="1342">
        <f t="shared" si="392"/>
        <v>0.11428571428571428</v>
      </c>
    </row>
    <row r="2979" spans="1:11" ht="24.95" customHeight="1">
      <c r="A2979" s="456" t="s">
        <v>2176</v>
      </c>
      <c r="B2979" s="452" t="s">
        <v>2177</v>
      </c>
      <c r="C2979" s="1338"/>
      <c r="D2979" s="1338"/>
      <c r="E2979" s="1353" t="e">
        <f t="shared" si="390"/>
        <v>#DIV/0!</v>
      </c>
      <c r="F2979" s="1338">
        <v>1</v>
      </c>
      <c r="G2979" s="1338"/>
      <c r="H2979" s="1353">
        <f t="shared" si="391"/>
        <v>0</v>
      </c>
      <c r="I2979" s="1340">
        <f t="shared" si="389"/>
        <v>1</v>
      </c>
      <c r="J2979" s="1335">
        <f t="shared" si="389"/>
        <v>0</v>
      </c>
      <c r="K2979" s="1342">
        <f t="shared" si="392"/>
        <v>0</v>
      </c>
    </row>
    <row r="2980" spans="1:11" ht="24.95" customHeight="1">
      <c r="A2980" s="456" t="s">
        <v>2620</v>
      </c>
      <c r="B2980" s="1236" t="s">
        <v>2621</v>
      </c>
      <c r="C2980" s="1338">
        <v>220</v>
      </c>
      <c r="D2980" s="1338">
        <v>105</v>
      </c>
      <c r="E2980" s="1353">
        <f t="shared" si="390"/>
        <v>0.47727272727272729</v>
      </c>
      <c r="F2980" s="1338">
        <v>2160</v>
      </c>
      <c r="G2980" s="1338">
        <v>1306</v>
      </c>
      <c r="H2980" s="1353">
        <f t="shared" si="391"/>
        <v>0.60462962962962963</v>
      </c>
      <c r="I2980" s="1340">
        <f t="shared" si="389"/>
        <v>2380</v>
      </c>
      <c r="J2980" s="1335">
        <f t="shared" si="389"/>
        <v>1411</v>
      </c>
      <c r="K2980" s="1342">
        <f t="shared" si="392"/>
        <v>0.59285714285714286</v>
      </c>
    </row>
    <row r="2981" spans="1:11" ht="24.95" customHeight="1">
      <c r="A2981" s="456" t="s">
        <v>2624</v>
      </c>
      <c r="B2981" s="452" t="s">
        <v>2330</v>
      </c>
      <c r="C2981" s="1338">
        <v>10</v>
      </c>
      <c r="D2981" s="1338">
        <v>4</v>
      </c>
      <c r="E2981" s="1353">
        <f t="shared" si="390"/>
        <v>0.4</v>
      </c>
      <c r="F2981" s="1338">
        <v>7600</v>
      </c>
      <c r="G2981" s="1338">
        <v>3816</v>
      </c>
      <c r="H2981" s="1353">
        <f t="shared" si="391"/>
        <v>0.50210526315789472</v>
      </c>
      <c r="I2981" s="1340">
        <f t="shared" si="389"/>
        <v>7610</v>
      </c>
      <c r="J2981" s="1335">
        <f t="shared" si="389"/>
        <v>3820</v>
      </c>
      <c r="K2981" s="1342">
        <f t="shared" si="392"/>
        <v>0.50197109067017087</v>
      </c>
    </row>
    <row r="2982" spans="1:11" ht="24.95" customHeight="1">
      <c r="A2982" s="1235" t="s">
        <v>2627</v>
      </c>
      <c r="B2982" s="1236" t="s">
        <v>2628</v>
      </c>
      <c r="C2982" s="1338"/>
      <c r="D2982" s="1338"/>
      <c r="E2982" s="1353" t="e">
        <f t="shared" si="390"/>
        <v>#DIV/0!</v>
      </c>
      <c r="F2982" s="1338">
        <v>540</v>
      </c>
      <c r="G2982" s="1338">
        <v>294</v>
      </c>
      <c r="H2982" s="1353">
        <f t="shared" si="391"/>
        <v>0.5444444444444444</v>
      </c>
      <c r="I2982" s="1340">
        <f t="shared" si="389"/>
        <v>540</v>
      </c>
      <c r="J2982" s="1335">
        <f t="shared" si="389"/>
        <v>294</v>
      </c>
      <c r="K2982" s="1342">
        <f t="shared" si="392"/>
        <v>0.5444444444444444</v>
      </c>
    </row>
    <row r="2983" spans="1:11" ht="24.95" customHeight="1">
      <c r="A2983" s="1235" t="s">
        <v>2629</v>
      </c>
      <c r="B2983" s="1236" t="s">
        <v>2630</v>
      </c>
      <c r="C2983" s="1338">
        <v>1</v>
      </c>
      <c r="D2983" s="1338"/>
      <c r="E2983" s="1353">
        <f t="shared" si="390"/>
        <v>0</v>
      </c>
      <c r="F2983" s="1338">
        <v>1720</v>
      </c>
      <c r="G2983" s="1338">
        <v>1021</v>
      </c>
      <c r="H2983" s="1353">
        <f t="shared" si="391"/>
        <v>0.59360465116279071</v>
      </c>
      <c r="I2983" s="1340">
        <f t="shared" si="389"/>
        <v>1721</v>
      </c>
      <c r="J2983" s="1335">
        <f t="shared" si="389"/>
        <v>1021</v>
      </c>
      <c r="K2983" s="1342">
        <f t="shared" si="392"/>
        <v>0.5932597327135386</v>
      </c>
    </row>
    <row r="2984" spans="1:11" ht="24.95" customHeight="1">
      <c r="A2984" s="1235" t="s">
        <v>2631</v>
      </c>
      <c r="B2984" s="1236" t="s">
        <v>2632</v>
      </c>
      <c r="C2984" s="1338">
        <v>6</v>
      </c>
      <c r="D2984" s="1338">
        <v>5</v>
      </c>
      <c r="E2984" s="1353">
        <f t="shared" si="390"/>
        <v>0.83333333333333337</v>
      </c>
      <c r="F2984" s="1338">
        <v>3600</v>
      </c>
      <c r="G2984" s="1338">
        <v>2110</v>
      </c>
      <c r="H2984" s="1353">
        <f t="shared" si="391"/>
        <v>0.58611111111111114</v>
      </c>
      <c r="I2984" s="1340">
        <f t="shared" si="389"/>
        <v>3606</v>
      </c>
      <c r="J2984" s="1335">
        <f t="shared" si="389"/>
        <v>2115</v>
      </c>
      <c r="K2984" s="1342">
        <f t="shared" si="392"/>
        <v>0.58652246256239604</v>
      </c>
    </row>
    <row r="2985" spans="1:11" ht="24.95" customHeight="1">
      <c r="A2985" s="1235" t="s">
        <v>2178</v>
      </c>
      <c r="B2985" s="1236" t="s">
        <v>2179</v>
      </c>
      <c r="C2985" s="1338">
        <v>20</v>
      </c>
      <c r="D2985" s="1338">
        <v>6</v>
      </c>
      <c r="E2985" s="1353">
        <f t="shared" si="390"/>
        <v>0.3</v>
      </c>
      <c r="F2985" s="1338">
        <v>1660</v>
      </c>
      <c r="G2985" s="1338">
        <v>1066</v>
      </c>
      <c r="H2985" s="1353">
        <f t="shared" si="391"/>
        <v>0.64216867469879513</v>
      </c>
      <c r="I2985" s="1340">
        <f t="shared" si="389"/>
        <v>1680</v>
      </c>
      <c r="J2985" s="1335">
        <f t="shared" si="389"/>
        <v>1072</v>
      </c>
      <c r="K2985" s="1342">
        <f t="shared" si="392"/>
        <v>0.63809523809523805</v>
      </c>
    </row>
    <row r="2986" spans="1:11" ht="24.95" customHeight="1">
      <c r="A2986" s="1235" t="s">
        <v>2633</v>
      </c>
      <c r="B2986" s="1236" t="s">
        <v>2965</v>
      </c>
      <c r="C2986" s="1338"/>
      <c r="D2986" s="1338"/>
      <c r="E2986" s="1353" t="e">
        <f t="shared" si="390"/>
        <v>#DIV/0!</v>
      </c>
      <c r="F2986" s="1338">
        <v>1370</v>
      </c>
      <c r="G2986" s="1338">
        <v>654</v>
      </c>
      <c r="H2986" s="1353">
        <f t="shared" si="391"/>
        <v>0.47737226277372263</v>
      </c>
      <c r="I2986" s="1340">
        <f t="shared" si="389"/>
        <v>1370</v>
      </c>
      <c r="J2986" s="1335">
        <f t="shared" si="389"/>
        <v>654</v>
      </c>
      <c r="K2986" s="1342">
        <f t="shared" si="392"/>
        <v>0.47737226277372263</v>
      </c>
    </row>
    <row r="2987" spans="1:11" ht="24.95" customHeight="1">
      <c r="A2987" s="1235" t="s">
        <v>2637</v>
      </c>
      <c r="B2987" s="1236" t="s">
        <v>2638</v>
      </c>
      <c r="C2987" s="1338"/>
      <c r="D2987" s="1338"/>
      <c r="E2987" s="1353" t="e">
        <f t="shared" si="390"/>
        <v>#DIV/0!</v>
      </c>
      <c r="F2987" s="1338">
        <v>220</v>
      </c>
      <c r="G2987" s="1338">
        <v>29</v>
      </c>
      <c r="H2987" s="1353">
        <f t="shared" si="391"/>
        <v>0.13181818181818181</v>
      </c>
      <c r="I2987" s="1340">
        <f t="shared" si="389"/>
        <v>220</v>
      </c>
      <c r="J2987" s="1335">
        <f t="shared" si="389"/>
        <v>29</v>
      </c>
      <c r="K2987" s="1342">
        <f t="shared" si="392"/>
        <v>0.13181818181818181</v>
      </c>
    </row>
    <row r="2988" spans="1:11" ht="24.95" customHeight="1">
      <c r="A2988" s="1235" t="s">
        <v>2643</v>
      </c>
      <c r="B2988" s="1236" t="s">
        <v>5574</v>
      </c>
      <c r="C2988" s="1338"/>
      <c r="D2988" s="1338"/>
      <c r="E2988" s="1353" t="e">
        <f t="shared" si="390"/>
        <v>#DIV/0!</v>
      </c>
      <c r="F2988" s="1338">
        <v>3</v>
      </c>
      <c r="G2988" s="1338"/>
      <c r="H2988" s="1353">
        <f t="shared" si="391"/>
        <v>0</v>
      </c>
      <c r="I2988" s="1340">
        <f t="shared" si="389"/>
        <v>3</v>
      </c>
      <c r="J2988" s="1335">
        <f t="shared" si="389"/>
        <v>0</v>
      </c>
      <c r="K2988" s="1342">
        <f t="shared" si="392"/>
        <v>0</v>
      </c>
    </row>
    <row r="2989" spans="1:11" ht="24.95" customHeight="1">
      <c r="A2989" s="1235" t="s">
        <v>2645</v>
      </c>
      <c r="B2989" s="1236" t="s">
        <v>2646</v>
      </c>
      <c r="C2989" s="1338">
        <v>1</v>
      </c>
      <c r="D2989" s="1338"/>
      <c r="E2989" s="1353">
        <f t="shared" si="390"/>
        <v>0</v>
      </c>
      <c r="F2989" s="1338">
        <v>810</v>
      </c>
      <c r="G2989" s="1338">
        <v>374</v>
      </c>
      <c r="H2989" s="1353">
        <f t="shared" si="391"/>
        <v>0.46172839506172841</v>
      </c>
      <c r="I2989" s="1340">
        <f t="shared" si="389"/>
        <v>811</v>
      </c>
      <c r="J2989" s="1335">
        <f t="shared" si="389"/>
        <v>374</v>
      </c>
      <c r="K2989" s="1342">
        <f t="shared" si="392"/>
        <v>0.46115906288532676</v>
      </c>
    </row>
    <row r="2990" spans="1:11" ht="24.95" customHeight="1">
      <c r="A2990" s="1235" t="s">
        <v>2647</v>
      </c>
      <c r="B2990" s="1236" t="s">
        <v>2648</v>
      </c>
      <c r="C2990" s="1338"/>
      <c r="D2990" s="1338"/>
      <c r="E2990" s="1353" t="e">
        <f t="shared" si="390"/>
        <v>#DIV/0!</v>
      </c>
      <c r="F2990" s="1338">
        <v>5</v>
      </c>
      <c r="G2990" s="1338"/>
      <c r="H2990" s="1353">
        <f t="shared" si="391"/>
        <v>0</v>
      </c>
      <c r="I2990" s="1340">
        <f t="shared" si="389"/>
        <v>5</v>
      </c>
      <c r="J2990" s="1335">
        <f t="shared" si="389"/>
        <v>0</v>
      </c>
      <c r="K2990" s="1342">
        <f t="shared" si="392"/>
        <v>0</v>
      </c>
    </row>
    <row r="2991" spans="1:11" ht="24.95" customHeight="1">
      <c r="A2991" s="1235" t="s">
        <v>2649</v>
      </c>
      <c r="B2991" s="1236" t="s">
        <v>2650</v>
      </c>
      <c r="C2991" s="1338"/>
      <c r="D2991" s="1338"/>
      <c r="E2991" s="1353" t="e">
        <f t="shared" si="390"/>
        <v>#DIV/0!</v>
      </c>
      <c r="F2991" s="1338">
        <v>20</v>
      </c>
      <c r="G2991" s="1338"/>
      <c r="H2991" s="1353">
        <f t="shared" si="391"/>
        <v>0</v>
      </c>
      <c r="I2991" s="1340">
        <f t="shared" si="389"/>
        <v>20</v>
      </c>
      <c r="J2991" s="1335">
        <f t="shared" si="389"/>
        <v>0</v>
      </c>
      <c r="K2991" s="1342">
        <f t="shared" si="392"/>
        <v>0</v>
      </c>
    </row>
    <row r="2992" spans="1:11" ht="24.95" customHeight="1">
      <c r="A2992" s="1235" t="s">
        <v>2667</v>
      </c>
      <c r="B2992" s="1236" t="s">
        <v>5575</v>
      </c>
      <c r="C2992" s="1338"/>
      <c r="D2992" s="1338"/>
      <c r="E2992" s="1353" t="e">
        <f t="shared" si="390"/>
        <v>#DIV/0!</v>
      </c>
      <c r="F2992" s="1338">
        <v>6</v>
      </c>
      <c r="G2992" s="1338">
        <v>4</v>
      </c>
      <c r="H2992" s="1353">
        <f t="shared" si="391"/>
        <v>0.66666666666666663</v>
      </c>
      <c r="I2992" s="1340">
        <f t="shared" si="389"/>
        <v>6</v>
      </c>
      <c r="J2992" s="1335">
        <f t="shared" si="389"/>
        <v>4</v>
      </c>
      <c r="K2992" s="1342">
        <f t="shared" si="392"/>
        <v>0.66666666666666663</v>
      </c>
    </row>
    <row r="2993" spans="1:11" ht="24.95" customHeight="1">
      <c r="A2993" s="1235" t="s">
        <v>2669</v>
      </c>
      <c r="B2993" s="1236" t="s">
        <v>3005</v>
      </c>
      <c r="C2993" s="1338"/>
      <c r="D2993" s="1338"/>
      <c r="E2993" s="1353" t="e">
        <f t="shared" si="390"/>
        <v>#DIV/0!</v>
      </c>
      <c r="F2993" s="1338">
        <v>15</v>
      </c>
      <c r="G2993" s="1338">
        <v>6</v>
      </c>
      <c r="H2993" s="1353">
        <f t="shared" si="391"/>
        <v>0.4</v>
      </c>
      <c r="I2993" s="1340">
        <f t="shared" si="389"/>
        <v>15</v>
      </c>
      <c r="J2993" s="1335">
        <f t="shared" si="389"/>
        <v>6</v>
      </c>
      <c r="K2993" s="1342">
        <f t="shared" si="392"/>
        <v>0.4</v>
      </c>
    </row>
    <row r="2994" spans="1:11" ht="24.95" customHeight="1">
      <c r="A2994" s="1235" t="s">
        <v>5576</v>
      </c>
      <c r="B2994" s="1220" t="s">
        <v>5577</v>
      </c>
      <c r="C2994" s="1338"/>
      <c r="D2994" s="1338"/>
      <c r="E2994" s="1353" t="e">
        <f t="shared" si="390"/>
        <v>#DIV/0!</v>
      </c>
      <c r="F2994" s="1338"/>
      <c r="G2994" s="1338"/>
      <c r="H2994" s="1353" t="e">
        <f t="shared" si="391"/>
        <v>#DIV/0!</v>
      </c>
      <c r="I2994" s="1340">
        <f t="shared" si="389"/>
        <v>0</v>
      </c>
      <c r="J2994" s="1335">
        <f t="shared" si="389"/>
        <v>0</v>
      </c>
      <c r="K2994" s="1342" t="e">
        <f t="shared" si="392"/>
        <v>#DIV/0!</v>
      </c>
    </row>
    <row r="2995" spans="1:11" ht="24.95" customHeight="1">
      <c r="A2995" s="1235" t="s">
        <v>5578</v>
      </c>
      <c r="B2995" s="1220" t="s">
        <v>5579</v>
      </c>
      <c r="C2995" s="1338"/>
      <c r="D2995" s="1338"/>
      <c r="E2995" s="1353" t="e">
        <f t="shared" si="390"/>
        <v>#DIV/0!</v>
      </c>
      <c r="F2995" s="1338"/>
      <c r="G2995" s="1338"/>
      <c r="H2995" s="1353" t="e">
        <f t="shared" si="391"/>
        <v>#DIV/0!</v>
      </c>
      <c r="I2995" s="1340">
        <f t="shared" si="389"/>
        <v>0</v>
      </c>
      <c r="J2995" s="1335">
        <f t="shared" si="389"/>
        <v>0</v>
      </c>
      <c r="K2995" s="1342" t="e">
        <f t="shared" si="392"/>
        <v>#DIV/0!</v>
      </c>
    </row>
    <row r="2996" spans="1:11" ht="24.95" customHeight="1">
      <c r="A2996" s="1235"/>
      <c r="B2996" s="1220" t="s">
        <v>2</v>
      </c>
      <c r="C2996" s="1338">
        <f t="shared" ref="C2996:I2996" si="393">SUM(C2908:C2995)</f>
        <v>4948</v>
      </c>
      <c r="D2996" s="1338">
        <f t="shared" si="393"/>
        <v>2110</v>
      </c>
      <c r="E2996" s="1353">
        <f t="shared" si="390"/>
        <v>0.42643492320129345</v>
      </c>
      <c r="F2996" s="1338">
        <f t="shared" si="393"/>
        <v>28599</v>
      </c>
      <c r="G2996" s="1338">
        <f t="shared" si="393"/>
        <v>14392</v>
      </c>
      <c r="H2996" s="1353">
        <f t="shared" si="391"/>
        <v>0.50323437882443445</v>
      </c>
      <c r="I2996" s="1360">
        <f t="shared" si="393"/>
        <v>33547</v>
      </c>
      <c r="J2996" s="1335">
        <f t="shared" ref="J2996" si="394">+D2996+G2996</f>
        <v>16502</v>
      </c>
      <c r="K2996" s="1342">
        <f t="shared" si="392"/>
        <v>0.49190687691894952</v>
      </c>
    </row>
    <row r="2997" spans="1:11" ht="24.95" customHeight="1">
      <c r="A2997" s="1235"/>
      <c r="B2997" s="1361" t="s">
        <v>3102</v>
      </c>
      <c r="C2997" s="2013"/>
      <c r="D2997" s="2013"/>
      <c r="E2997" s="2013"/>
      <c r="F2997" s="2013"/>
      <c r="G2997" s="2013"/>
      <c r="H2997" s="2013"/>
      <c r="I2997" s="2013"/>
      <c r="J2997" s="1335"/>
      <c r="K2997" s="1342"/>
    </row>
    <row r="2998" spans="1:11" ht="24.95" customHeight="1">
      <c r="A2998" s="456" t="s">
        <v>2395</v>
      </c>
      <c r="B2998" s="452" t="s">
        <v>2396</v>
      </c>
      <c r="C2998" s="1338"/>
      <c r="D2998" s="1338"/>
      <c r="E2998" s="1339"/>
      <c r="F2998" s="1338">
        <v>5</v>
      </c>
      <c r="G2998" s="1338">
        <v>5</v>
      </c>
      <c r="H2998" s="1339">
        <f>+G2998/F2998</f>
        <v>1</v>
      </c>
      <c r="I2998" s="1359">
        <f t="shared" ref="I2998:I3012" si="395">+C2998+F2998</f>
        <v>5</v>
      </c>
      <c r="J2998" s="1341">
        <f>+G2998</f>
        <v>5</v>
      </c>
      <c r="K2998" s="1342">
        <f>+J2998/I2998</f>
        <v>1</v>
      </c>
    </row>
    <row r="2999" spans="1:11" ht="24.95" customHeight="1">
      <c r="A2999" s="456" t="s">
        <v>2397</v>
      </c>
      <c r="B2999" s="452" t="s">
        <v>2398</v>
      </c>
      <c r="C2999" s="1338"/>
      <c r="D2999" s="1338"/>
      <c r="E2999" s="1339"/>
      <c r="F2999" s="1338"/>
      <c r="G2999" s="1338"/>
      <c r="H2999" s="1339" t="e">
        <f t="shared" ref="H2999:H3016" si="396">+G2999/F2999</f>
        <v>#DIV/0!</v>
      </c>
      <c r="I2999" s="1359">
        <f t="shared" si="395"/>
        <v>0</v>
      </c>
      <c r="J2999" s="1341">
        <f t="shared" ref="J2999:J3012" si="397">+G2999</f>
        <v>0</v>
      </c>
      <c r="K2999" s="1342" t="e">
        <f t="shared" ref="K2999:K3016" si="398">+J2999/I2999</f>
        <v>#DIV/0!</v>
      </c>
    </row>
    <row r="3000" spans="1:11" ht="24.95" customHeight="1">
      <c r="A3000" s="456" t="s">
        <v>2792</v>
      </c>
      <c r="B3000" s="452" t="s">
        <v>2402</v>
      </c>
      <c r="C3000" s="1338"/>
      <c r="D3000" s="1338"/>
      <c r="E3000" s="1339"/>
      <c r="F3000" s="1338">
        <v>5</v>
      </c>
      <c r="G3000" s="1338">
        <v>4</v>
      </c>
      <c r="H3000" s="1339">
        <f t="shared" si="396"/>
        <v>0.8</v>
      </c>
      <c r="I3000" s="1359">
        <f t="shared" si="395"/>
        <v>5</v>
      </c>
      <c r="J3000" s="1341">
        <f t="shared" si="397"/>
        <v>4</v>
      </c>
      <c r="K3000" s="1342">
        <f t="shared" si="398"/>
        <v>0.8</v>
      </c>
    </row>
    <row r="3001" spans="1:11" ht="24.95" customHeight="1">
      <c r="A3001" s="456" t="s">
        <v>2423</v>
      </c>
      <c r="B3001" s="452" t="s">
        <v>2424</v>
      </c>
      <c r="C3001" s="1338"/>
      <c r="D3001" s="1338"/>
      <c r="E3001" s="1339"/>
      <c r="F3001" s="1338">
        <v>2</v>
      </c>
      <c r="G3001" s="1338"/>
      <c r="H3001" s="1339">
        <f t="shared" si="396"/>
        <v>0</v>
      </c>
      <c r="I3001" s="1359">
        <f t="shared" si="395"/>
        <v>2</v>
      </c>
      <c r="J3001" s="1341">
        <f t="shared" si="397"/>
        <v>0</v>
      </c>
      <c r="K3001" s="1342">
        <f t="shared" si="398"/>
        <v>0</v>
      </c>
    </row>
    <row r="3002" spans="1:11" ht="24.95" customHeight="1">
      <c r="A3002" s="456" t="s">
        <v>2429</v>
      </c>
      <c r="B3002" s="452" t="s">
        <v>2430</v>
      </c>
      <c r="C3002" s="1338"/>
      <c r="D3002" s="1338"/>
      <c r="E3002" s="1339"/>
      <c r="F3002" s="1338">
        <v>180</v>
      </c>
      <c r="G3002" s="1338">
        <v>74</v>
      </c>
      <c r="H3002" s="1339">
        <f t="shared" si="396"/>
        <v>0.41111111111111109</v>
      </c>
      <c r="I3002" s="1359">
        <f t="shared" si="395"/>
        <v>180</v>
      </c>
      <c r="J3002" s="1341">
        <f t="shared" si="397"/>
        <v>74</v>
      </c>
      <c r="K3002" s="1342">
        <f t="shared" si="398"/>
        <v>0.41111111111111109</v>
      </c>
    </row>
    <row r="3003" spans="1:11" ht="24.95" customHeight="1">
      <c r="A3003" s="456" t="s">
        <v>5527</v>
      </c>
      <c r="B3003" s="452" t="s">
        <v>5529</v>
      </c>
      <c r="C3003" s="1338"/>
      <c r="D3003" s="1338"/>
      <c r="E3003" s="1339"/>
      <c r="F3003" s="1338">
        <v>2</v>
      </c>
      <c r="G3003" s="1338">
        <v>2</v>
      </c>
      <c r="H3003" s="1339">
        <f t="shared" si="396"/>
        <v>1</v>
      </c>
      <c r="I3003" s="1359">
        <f t="shared" si="395"/>
        <v>2</v>
      </c>
      <c r="J3003" s="1341">
        <f t="shared" si="397"/>
        <v>2</v>
      </c>
      <c r="K3003" s="1342">
        <f t="shared" si="398"/>
        <v>1</v>
      </c>
    </row>
    <row r="3004" spans="1:11" ht="24.95" customHeight="1">
      <c r="A3004" s="456" t="s">
        <v>2439</v>
      </c>
      <c r="B3004" s="452" t="s">
        <v>2440</v>
      </c>
      <c r="C3004" s="1338"/>
      <c r="D3004" s="1338"/>
      <c r="E3004" s="1339"/>
      <c r="F3004" s="1338">
        <v>15</v>
      </c>
      <c r="G3004" s="1338">
        <v>6</v>
      </c>
      <c r="H3004" s="1339">
        <f t="shared" si="396"/>
        <v>0.4</v>
      </c>
      <c r="I3004" s="1359">
        <f t="shared" si="395"/>
        <v>15</v>
      </c>
      <c r="J3004" s="1341">
        <f t="shared" si="397"/>
        <v>6</v>
      </c>
      <c r="K3004" s="1342">
        <f t="shared" si="398"/>
        <v>0.4</v>
      </c>
    </row>
    <row r="3005" spans="1:11" ht="24.95" customHeight="1">
      <c r="A3005" s="456" t="s">
        <v>2327</v>
      </c>
      <c r="B3005" s="452" t="s">
        <v>2328</v>
      </c>
      <c r="C3005" s="1338"/>
      <c r="D3005" s="1338"/>
      <c r="E3005" s="1339"/>
      <c r="F3005" s="1338">
        <v>15</v>
      </c>
      <c r="G3005" s="1338"/>
      <c r="H3005" s="1339">
        <f t="shared" si="396"/>
        <v>0</v>
      </c>
      <c r="I3005" s="1359">
        <f t="shared" si="395"/>
        <v>15</v>
      </c>
      <c r="J3005" s="1341">
        <f t="shared" si="397"/>
        <v>0</v>
      </c>
      <c r="K3005" s="1342">
        <f t="shared" si="398"/>
        <v>0</v>
      </c>
    </row>
    <row r="3006" spans="1:11" ht="24.95" customHeight="1">
      <c r="A3006" s="456" t="s">
        <v>2620</v>
      </c>
      <c r="B3006" s="452" t="s">
        <v>5580</v>
      </c>
      <c r="C3006" s="1338"/>
      <c r="D3006" s="1338"/>
      <c r="E3006" s="1339"/>
      <c r="F3006" s="1338">
        <v>3</v>
      </c>
      <c r="G3006" s="1338">
        <v>2</v>
      </c>
      <c r="H3006" s="1339">
        <f t="shared" si="396"/>
        <v>0.66666666666666663</v>
      </c>
      <c r="I3006" s="1359">
        <f t="shared" si="395"/>
        <v>3</v>
      </c>
      <c r="J3006" s="1341">
        <f t="shared" si="397"/>
        <v>2</v>
      </c>
      <c r="K3006" s="1342">
        <f t="shared" si="398"/>
        <v>0.66666666666666663</v>
      </c>
    </row>
    <row r="3007" spans="1:11" ht="24.95" customHeight="1">
      <c r="A3007" s="456" t="s">
        <v>2624</v>
      </c>
      <c r="B3007" s="452" t="s">
        <v>2330</v>
      </c>
      <c r="C3007" s="1338"/>
      <c r="D3007" s="1338"/>
      <c r="E3007" s="1339"/>
      <c r="F3007" s="1338">
        <v>300</v>
      </c>
      <c r="G3007" s="1338">
        <v>60</v>
      </c>
      <c r="H3007" s="1339">
        <f t="shared" si="396"/>
        <v>0.2</v>
      </c>
      <c r="I3007" s="1359">
        <f t="shared" si="395"/>
        <v>300</v>
      </c>
      <c r="J3007" s="1341">
        <f t="shared" si="397"/>
        <v>60</v>
      </c>
      <c r="K3007" s="1342">
        <f t="shared" si="398"/>
        <v>0.2</v>
      </c>
    </row>
    <row r="3008" spans="1:11" ht="24.95" customHeight="1">
      <c r="A3008" s="1235" t="s">
        <v>2627</v>
      </c>
      <c r="B3008" s="1236" t="s">
        <v>2628</v>
      </c>
      <c r="C3008" s="1338"/>
      <c r="D3008" s="1338"/>
      <c r="E3008" s="1339"/>
      <c r="F3008" s="1338"/>
      <c r="G3008" s="1338"/>
      <c r="H3008" s="1339" t="e">
        <f t="shared" si="396"/>
        <v>#DIV/0!</v>
      </c>
      <c r="I3008" s="1359">
        <f t="shared" si="395"/>
        <v>0</v>
      </c>
      <c r="J3008" s="1341">
        <f t="shared" si="397"/>
        <v>0</v>
      </c>
      <c r="K3008" s="1342" t="e">
        <f t="shared" si="398"/>
        <v>#DIV/0!</v>
      </c>
    </row>
    <row r="3009" spans="1:11" ht="24.95" customHeight="1">
      <c r="A3009" s="1235" t="s">
        <v>2631</v>
      </c>
      <c r="B3009" s="1236" t="s">
        <v>2632</v>
      </c>
      <c r="C3009" s="1338"/>
      <c r="D3009" s="1338"/>
      <c r="E3009" s="1339"/>
      <c r="F3009" s="1338">
        <v>35</v>
      </c>
      <c r="G3009" s="1338">
        <v>16</v>
      </c>
      <c r="H3009" s="1339">
        <f t="shared" si="396"/>
        <v>0.45714285714285713</v>
      </c>
      <c r="I3009" s="1359">
        <f t="shared" si="395"/>
        <v>35</v>
      </c>
      <c r="J3009" s="1341">
        <f t="shared" si="397"/>
        <v>16</v>
      </c>
      <c r="K3009" s="1342">
        <f t="shared" si="398"/>
        <v>0.45714285714285713</v>
      </c>
    </row>
    <row r="3010" spans="1:11" ht="24.95" customHeight="1">
      <c r="A3010" s="1235" t="s">
        <v>2178</v>
      </c>
      <c r="B3010" s="1236" t="s">
        <v>2179</v>
      </c>
      <c r="C3010" s="1338"/>
      <c r="D3010" s="1338"/>
      <c r="E3010" s="1339"/>
      <c r="F3010" s="1338">
        <v>5</v>
      </c>
      <c r="G3010" s="1338"/>
      <c r="H3010" s="1339">
        <f t="shared" si="396"/>
        <v>0</v>
      </c>
      <c r="I3010" s="1359">
        <f t="shared" si="395"/>
        <v>5</v>
      </c>
      <c r="J3010" s="1341">
        <f t="shared" si="397"/>
        <v>0</v>
      </c>
      <c r="K3010" s="1342">
        <f t="shared" si="398"/>
        <v>0</v>
      </c>
    </row>
    <row r="3011" spans="1:11" ht="24.95" customHeight="1">
      <c r="A3011" s="1235" t="s">
        <v>2633</v>
      </c>
      <c r="B3011" s="1236" t="s">
        <v>2965</v>
      </c>
      <c r="C3011" s="1338"/>
      <c r="D3011" s="1338"/>
      <c r="E3011" s="1339"/>
      <c r="F3011" s="1338">
        <v>5</v>
      </c>
      <c r="G3011" s="1338"/>
      <c r="H3011" s="1339">
        <f t="shared" si="396"/>
        <v>0</v>
      </c>
      <c r="I3011" s="1359">
        <f t="shared" si="395"/>
        <v>5</v>
      </c>
      <c r="J3011" s="1341">
        <f t="shared" si="397"/>
        <v>0</v>
      </c>
      <c r="K3011" s="1342">
        <f t="shared" si="398"/>
        <v>0</v>
      </c>
    </row>
    <row r="3012" spans="1:11" ht="24.95" customHeight="1">
      <c r="A3012" s="1235" t="s">
        <v>2645</v>
      </c>
      <c r="B3012" s="1236" t="s">
        <v>2646</v>
      </c>
      <c r="C3012" s="1338"/>
      <c r="D3012" s="1338"/>
      <c r="E3012" s="1339"/>
      <c r="F3012" s="1338">
        <v>2</v>
      </c>
      <c r="G3012" s="1338"/>
      <c r="H3012" s="1339">
        <f t="shared" si="396"/>
        <v>0</v>
      </c>
      <c r="I3012" s="1359">
        <f t="shared" si="395"/>
        <v>2</v>
      </c>
      <c r="J3012" s="1341">
        <f t="shared" si="397"/>
        <v>0</v>
      </c>
      <c r="K3012" s="1342">
        <f t="shared" si="398"/>
        <v>0</v>
      </c>
    </row>
    <row r="3013" spans="1:11" ht="24.95" customHeight="1">
      <c r="A3013" s="1300"/>
      <c r="B3013" s="1362" t="s">
        <v>3112</v>
      </c>
      <c r="C3013" s="1363">
        <f t="shared" ref="C3013:J3013" si="399">SUM(C2998:C3011)</f>
        <v>0</v>
      </c>
      <c r="D3013" s="1363">
        <f t="shared" si="399"/>
        <v>0</v>
      </c>
      <c r="E3013" s="1364"/>
      <c r="F3013" s="1363">
        <f>SUM(F2998:F3012)</f>
        <v>574</v>
      </c>
      <c r="G3013" s="1363">
        <f>SUM(G2998:G3012)</f>
        <v>169</v>
      </c>
      <c r="H3013" s="1339">
        <f t="shared" si="396"/>
        <v>0.29442508710801396</v>
      </c>
      <c r="I3013" s="1365">
        <f t="shared" si="399"/>
        <v>572</v>
      </c>
      <c r="J3013" s="1365">
        <f t="shared" si="399"/>
        <v>169</v>
      </c>
      <c r="K3013" s="1342">
        <f t="shared" si="398"/>
        <v>0.29545454545454547</v>
      </c>
    </row>
    <row r="3014" spans="1:11" ht="24.95" customHeight="1">
      <c r="A3014" s="1210"/>
      <c r="B3014" s="1366" t="s">
        <v>3113</v>
      </c>
      <c r="C3014" s="1363">
        <f t="shared" ref="C3014:G3014" si="400">+C2996</f>
        <v>4948</v>
      </c>
      <c r="D3014" s="1363">
        <f t="shared" si="400"/>
        <v>2110</v>
      </c>
      <c r="E3014" s="1364"/>
      <c r="F3014" s="1363">
        <f t="shared" si="400"/>
        <v>28599</v>
      </c>
      <c r="G3014" s="1363">
        <f t="shared" si="400"/>
        <v>14392</v>
      </c>
      <c r="H3014" s="1339">
        <f t="shared" si="396"/>
        <v>0.50323437882443445</v>
      </c>
      <c r="I3014" s="1359">
        <f>+C3014+F3014</f>
        <v>33547</v>
      </c>
      <c r="J3014" s="1359">
        <f>+D3014+G3014</f>
        <v>16502</v>
      </c>
      <c r="K3014" s="1342">
        <f t="shared" si="398"/>
        <v>0.49190687691894952</v>
      </c>
    </row>
    <row r="3015" spans="1:11" ht="24.95" customHeight="1">
      <c r="A3015" s="1210"/>
      <c r="B3015" s="1367" t="s">
        <v>4440</v>
      </c>
      <c r="C3015" s="1363">
        <f t="shared" ref="C3015:J3015" si="401">+C2906</f>
        <v>53</v>
      </c>
      <c r="D3015" s="1363">
        <f t="shared" si="401"/>
        <v>34</v>
      </c>
      <c r="E3015" s="1364"/>
      <c r="F3015" s="1363">
        <f t="shared" si="401"/>
        <v>662</v>
      </c>
      <c r="G3015" s="1363">
        <f t="shared" si="401"/>
        <v>238</v>
      </c>
      <c r="H3015" s="1339">
        <f t="shared" si="396"/>
        <v>0.3595166163141994</v>
      </c>
      <c r="I3015" s="1365">
        <f t="shared" si="401"/>
        <v>713</v>
      </c>
      <c r="J3015" s="1365">
        <f t="shared" si="401"/>
        <v>272</v>
      </c>
      <c r="K3015" s="1342">
        <f t="shared" si="398"/>
        <v>0.38148667601683028</v>
      </c>
    </row>
    <row r="3016" spans="1:11" ht="24.95" customHeight="1">
      <c r="A3016" s="1210"/>
      <c r="B3016" s="1366" t="s">
        <v>2671</v>
      </c>
      <c r="C3016" s="1344">
        <f t="shared" ref="C3016:J3016" si="402">+C3013+C3014+C3015</f>
        <v>5001</v>
      </c>
      <c r="D3016" s="1344">
        <f t="shared" si="402"/>
        <v>2144</v>
      </c>
      <c r="E3016" s="1368"/>
      <c r="F3016" s="1344">
        <f t="shared" si="402"/>
        <v>29835</v>
      </c>
      <c r="G3016" s="1344">
        <f t="shared" si="402"/>
        <v>14799</v>
      </c>
      <c r="H3016" s="1339">
        <f t="shared" si="396"/>
        <v>0.49602815485168428</v>
      </c>
      <c r="I3016" s="1345">
        <f t="shared" si="402"/>
        <v>34832</v>
      </c>
      <c r="J3016" s="1345">
        <f t="shared" si="402"/>
        <v>16943</v>
      </c>
      <c r="K3016" s="1342">
        <f t="shared" si="398"/>
        <v>0.48642053284336245</v>
      </c>
    </row>
    <row r="3017" spans="1:11" ht="24.95" customHeight="1">
      <c r="A3017" s="2014" t="s">
        <v>149</v>
      </c>
      <c r="B3017" s="2015"/>
      <c r="C3017" s="2015"/>
      <c r="D3017" s="2015"/>
      <c r="E3017" s="2015"/>
      <c r="F3017" s="2015"/>
      <c r="G3017" s="2015"/>
      <c r="H3017" s="2015"/>
      <c r="I3017" s="2015"/>
      <c r="J3017" s="734"/>
      <c r="K3017" s="1146"/>
    </row>
    <row r="3018" spans="1:11" s="741" customFormat="1" ht="24.95" customHeight="1">
      <c r="A3018" s="2016" t="s">
        <v>208</v>
      </c>
      <c r="B3018" s="2017"/>
      <c r="C3018" s="1968" t="s">
        <v>1852</v>
      </c>
      <c r="D3018" s="1969"/>
      <c r="E3018" s="1969"/>
      <c r="F3018" s="1969"/>
      <c r="G3018" s="1969"/>
      <c r="H3018" s="1969"/>
      <c r="I3018" s="1969"/>
      <c r="J3018" s="1969"/>
      <c r="K3018" s="1969"/>
    </row>
    <row r="3019" spans="1:11" s="741" customFormat="1" ht="24.95" customHeight="1">
      <c r="A3019" s="2009" t="s">
        <v>209</v>
      </c>
      <c r="B3019" s="2010"/>
      <c r="C3019" s="1958">
        <v>17878735</v>
      </c>
      <c r="D3019" s="1959"/>
      <c r="E3019" s="1959"/>
      <c r="F3019" s="1959"/>
      <c r="G3019" s="1959"/>
      <c r="H3019" s="1959"/>
      <c r="I3019" s="1959"/>
      <c r="J3019" s="1959"/>
      <c r="K3019" s="1959"/>
    </row>
    <row r="3020" spans="1:11" s="741" customFormat="1" ht="24.95" customHeight="1">
      <c r="A3020" s="2009" t="s">
        <v>211</v>
      </c>
      <c r="B3020" s="2010"/>
      <c r="C3020" s="1960" t="s">
        <v>2037</v>
      </c>
      <c r="D3020" s="1961"/>
      <c r="E3020" s="1961"/>
      <c r="F3020" s="1961"/>
      <c r="G3020" s="1961"/>
      <c r="H3020" s="1961"/>
      <c r="I3020" s="1961"/>
      <c r="J3020" s="1961"/>
      <c r="K3020" s="1961"/>
    </row>
    <row r="3021" spans="1:11" ht="24.95" customHeight="1">
      <c r="A3021" s="2009" t="s">
        <v>210</v>
      </c>
      <c r="B3021" s="2010"/>
      <c r="C3021" s="1962" t="s">
        <v>331</v>
      </c>
      <c r="D3021" s="1963"/>
      <c r="E3021" s="1963"/>
      <c r="F3021" s="1963"/>
      <c r="G3021" s="1963"/>
      <c r="H3021" s="1963"/>
      <c r="I3021" s="1963"/>
      <c r="J3021" s="1963"/>
      <c r="K3021" s="1963"/>
    </row>
    <row r="3022" spans="1:11" ht="24.95" customHeight="1">
      <c r="A3022" s="2007" t="s">
        <v>251</v>
      </c>
      <c r="B3022" s="2008"/>
      <c r="C3022" s="1954" t="s">
        <v>1936</v>
      </c>
      <c r="D3022" s="1946"/>
      <c r="E3022" s="1946"/>
      <c r="F3022" s="1946"/>
      <c r="G3022" s="1946"/>
      <c r="H3022" s="1946"/>
      <c r="I3022" s="1946"/>
      <c r="J3022" s="1946"/>
      <c r="K3022" s="1946"/>
    </row>
    <row r="3023" spans="1:11" ht="24.95" customHeight="1">
      <c r="A3023" s="1933" t="s">
        <v>122</v>
      </c>
      <c r="B3023" s="1933" t="s">
        <v>253</v>
      </c>
      <c r="C3023" s="1935" t="s">
        <v>2038</v>
      </c>
      <c r="D3023" s="1935"/>
      <c r="E3023" s="1935"/>
      <c r="F3023" s="1935" t="s">
        <v>2039</v>
      </c>
      <c r="G3023" s="1935"/>
      <c r="H3023" s="1935"/>
      <c r="I3023" s="1935" t="s">
        <v>90</v>
      </c>
      <c r="J3023" s="1935"/>
      <c r="K3023" s="1935"/>
    </row>
    <row r="3024" spans="1:11" ht="24.95" customHeight="1">
      <c r="A3024" s="1934"/>
      <c r="B3024" s="1934"/>
      <c r="C3024" s="545" t="s">
        <v>368</v>
      </c>
      <c r="D3024" s="547" t="s">
        <v>2040</v>
      </c>
      <c r="E3024" s="546" t="s">
        <v>2041</v>
      </c>
      <c r="F3024" s="545" t="s">
        <v>368</v>
      </c>
      <c r="G3024" s="547" t="s">
        <v>2040</v>
      </c>
      <c r="H3024" s="546" t="s">
        <v>2041</v>
      </c>
      <c r="I3024" s="545" t="s">
        <v>368</v>
      </c>
      <c r="J3024" s="547" t="s">
        <v>2040</v>
      </c>
      <c r="K3024" s="546" t="s">
        <v>2041</v>
      </c>
    </row>
    <row r="3025" spans="1:11" ht="24.95" customHeight="1">
      <c r="A3025" s="1996" t="s">
        <v>2673</v>
      </c>
      <c r="B3025" s="1997"/>
      <c r="C3025" s="1997"/>
      <c r="D3025" s="1997"/>
      <c r="E3025" s="1997"/>
      <c r="F3025" s="1997"/>
      <c r="G3025" s="1997"/>
      <c r="H3025" s="1997"/>
      <c r="I3025" s="1997"/>
      <c r="J3025" s="1997"/>
      <c r="K3025" s="1997"/>
    </row>
    <row r="3026" spans="1:11" ht="24.95" customHeight="1">
      <c r="A3026" s="1369"/>
      <c r="B3026" s="1370" t="s">
        <v>1937</v>
      </c>
      <c r="C3026" s="1998"/>
      <c r="D3026" s="1999"/>
      <c r="E3026" s="1999"/>
      <c r="F3026" s="1999"/>
      <c r="G3026" s="1999"/>
      <c r="H3026" s="1999"/>
      <c r="I3026" s="1999"/>
      <c r="J3026" s="1999"/>
      <c r="K3026" s="2000"/>
    </row>
    <row r="3027" spans="1:11" ht="24.95" customHeight="1">
      <c r="A3027" s="1371" t="s">
        <v>3505</v>
      </c>
      <c r="B3027" s="1372" t="s">
        <v>3506</v>
      </c>
      <c r="C3027" s="1257">
        <v>1</v>
      </c>
      <c r="D3027" s="1257"/>
      <c r="E3027" s="1258">
        <f>+D3027/C3027</f>
        <v>0</v>
      </c>
      <c r="F3027" s="1257">
        <v>1</v>
      </c>
      <c r="G3027" s="1257">
        <v>3</v>
      </c>
      <c r="H3027" s="1258">
        <f>+G3027/F3027</f>
        <v>3</v>
      </c>
      <c r="I3027" s="1259">
        <f t="shared" ref="I3027:J3042" si="403">+C3027+F3027</f>
        <v>2</v>
      </c>
      <c r="J3027" s="695">
        <f>+D3027+G3027</f>
        <v>3</v>
      </c>
      <c r="K3027" s="650">
        <f>+J3027/I3027</f>
        <v>1.5</v>
      </c>
    </row>
    <row r="3028" spans="1:11" ht="24.95" customHeight="1">
      <c r="A3028" s="1264" t="s">
        <v>3361</v>
      </c>
      <c r="B3028" s="1373" t="s">
        <v>5581</v>
      </c>
      <c r="C3028" s="1374">
        <v>1</v>
      </c>
      <c r="D3028" s="1374"/>
      <c r="E3028" s="1258">
        <f t="shared" ref="E3028:E3091" si="404">+D3028/C3028</f>
        <v>0</v>
      </c>
      <c r="F3028" s="723"/>
      <c r="G3028" s="723">
        <v>1</v>
      </c>
      <c r="H3028" s="1258" t="e">
        <f t="shared" ref="H3028:H3091" si="405">+G3028/F3028</f>
        <v>#DIV/0!</v>
      </c>
      <c r="I3028" s="1375">
        <f t="shared" si="403"/>
        <v>1</v>
      </c>
      <c r="J3028" s="695">
        <f t="shared" si="403"/>
        <v>1</v>
      </c>
      <c r="K3028" s="650">
        <f t="shared" ref="K3028:K3091" si="406">+J3028/I3028</f>
        <v>1</v>
      </c>
    </row>
    <row r="3029" spans="1:11" ht="24.95" customHeight="1">
      <c r="A3029" s="1376" t="s">
        <v>3022</v>
      </c>
      <c r="B3029" s="1357" t="s">
        <v>3023</v>
      </c>
      <c r="C3029" s="1374">
        <v>5</v>
      </c>
      <c r="D3029" s="1374">
        <v>2</v>
      </c>
      <c r="E3029" s="1258">
        <f t="shared" si="404"/>
        <v>0.4</v>
      </c>
      <c r="F3029" s="723">
        <v>20</v>
      </c>
      <c r="G3029" s="723">
        <v>6</v>
      </c>
      <c r="H3029" s="1258">
        <f t="shared" si="405"/>
        <v>0.3</v>
      </c>
      <c r="I3029" s="1259">
        <f t="shared" si="403"/>
        <v>25</v>
      </c>
      <c r="J3029" s="695">
        <f t="shared" si="403"/>
        <v>8</v>
      </c>
      <c r="K3029" s="650">
        <f t="shared" si="406"/>
        <v>0.32</v>
      </c>
    </row>
    <row r="3030" spans="1:11" ht="24.95" customHeight="1">
      <c r="A3030" s="1376" t="s">
        <v>3571</v>
      </c>
      <c r="B3030" s="1357" t="s">
        <v>3572</v>
      </c>
      <c r="C3030" s="1374"/>
      <c r="D3030" s="1374"/>
      <c r="E3030" s="1258" t="e">
        <f t="shared" si="404"/>
        <v>#DIV/0!</v>
      </c>
      <c r="F3030" s="723">
        <v>1</v>
      </c>
      <c r="G3030" s="723"/>
      <c r="H3030" s="1258">
        <f t="shared" si="405"/>
        <v>0</v>
      </c>
      <c r="I3030" s="1259">
        <f t="shared" si="403"/>
        <v>1</v>
      </c>
      <c r="J3030" s="695">
        <f t="shared" si="403"/>
        <v>0</v>
      </c>
      <c r="K3030" s="650">
        <f t="shared" si="406"/>
        <v>0</v>
      </c>
    </row>
    <row r="3031" spans="1:11" ht="24.95" customHeight="1">
      <c r="A3031" s="1376" t="s">
        <v>5170</v>
      </c>
      <c r="B3031" s="1357" t="s">
        <v>5171</v>
      </c>
      <c r="C3031" s="1374">
        <v>10</v>
      </c>
      <c r="D3031" s="1374"/>
      <c r="E3031" s="1258">
        <f t="shared" si="404"/>
        <v>0</v>
      </c>
      <c r="F3031" s="1377">
        <v>5</v>
      </c>
      <c r="G3031" s="1377"/>
      <c r="H3031" s="1258">
        <f t="shared" si="405"/>
        <v>0</v>
      </c>
      <c r="I3031" s="1259">
        <f t="shared" si="403"/>
        <v>15</v>
      </c>
      <c r="J3031" s="695">
        <f t="shared" si="403"/>
        <v>0</v>
      </c>
      <c r="K3031" s="650">
        <f t="shared" si="406"/>
        <v>0</v>
      </c>
    </row>
    <row r="3032" spans="1:11" ht="24.95" customHeight="1">
      <c r="A3032" s="1376" t="s">
        <v>3569</v>
      </c>
      <c r="B3032" s="1357" t="s">
        <v>3570</v>
      </c>
      <c r="C3032" s="1374">
        <v>125</v>
      </c>
      <c r="D3032" s="1374">
        <v>24</v>
      </c>
      <c r="E3032" s="1258">
        <f t="shared" si="404"/>
        <v>0.192</v>
      </c>
      <c r="F3032" s="1377">
        <v>20</v>
      </c>
      <c r="G3032" s="1377">
        <v>9</v>
      </c>
      <c r="H3032" s="1258">
        <f t="shared" si="405"/>
        <v>0.45</v>
      </c>
      <c r="I3032" s="1259">
        <f t="shared" si="403"/>
        <v>145</v>
      </c>
      <c r="J3032" s="695">
        <f t="shared" si="403"/>
        <v>33</v>
      </c>
      <c r="K3032" s="650">
        <f t="shared" si="406"/>
        <v>0.22758620689655173</v>
      </c>
    </row>
    <row r="3033" spans="1:11" ht="24.95" customHeight="1">
      <c r="A3033" s="1376" t="s">
        <v>5582</v>
      </c>
      <c r="B3033" s="1357" t="s">
        <v>5583</v>
      </c>
      <c r="C3033" s="1374">
        <v>1</v>
      </c>
      <c r="D3033" s="1374"/>
      <c r="E3033" s="1258">
        <f t="shared" si="404"/>
        <v>0</v>
      </c>
      <c r="F3033" s="1377"/>
      <c r="G3033" s="1377"/>
      <c r="H3033" s="1258" t="e">
        <f t="shared" si="405"/>
        <v>#DIV/0!</v>
      </c>
      <c r="I3033" s="1259">
        <f t="shared" si="403"/>
        <v>1</v>
      </c>
      <c r="J3033" s="695">
        <f t="shared" si="403"/>
        <v>0</v>
      </c>
      <c r="K3033" s="650">
        <f t="shared" si="406"/>
        <v>0</v>
      </c>
    </row>
    <row r="3034" spans="1:11" ht="24.95" customHeight="1">
      <c r="A3034" s="1376" t="s">
        <v>5584</v>
      </c>
      <c r="B3034" s="1357" t="s">
        <v>5585</v>
      </c>
      <c r="C3034" s="1374"/>
      <c r="D3034" s="1374"/>
      <c r="E3034" s="1258" t="e">
        <f t="shared" si="404"/>
        <v>#DIV/0!</v>
      </c>
      <c r="F3034" s="723">
        <v>5</v>
      </c>
      <c r="G3034" s="723"/>
      <c r="H3034" s="1258">
        <f t="shared" si="405"/>
        <v>0</v>
      </c>
      <c r="I3034" s="1259">
        <f t="shared" si="403"/>
        <v>5</v>
      </c>
      <c r="J3034" s="695">
        <f t="shared" si="403"/>
        <v>0</v>
      </c>
      <c r="K3034" s="650">
        <f t="shared" si="406"/>
        <v>0</v>
      </c>
    </row>
    <row r="3035" spans="1:11" ht="24.95" customHeight="1">
      <c r="A3035" s="1376" t="s">
        <v>5586</v>
      </c>
      <c r="B3035" s="1357" t="s">
        <v>5587</v>
      </c>
      <c r="C3035" s="1226">
        <v>5</v>
      </c>
      <c r="D3035" s="1226"/>
      <c r="E3035" s="1258">
        <f t="shared" si="404"/>
        <v>0</v>
      </c>
      <c r="F3035" s="1226">
        <v>1</v>
      </c>
      <c r="G3035" s="1226"/>
      <c r="H3035" s="1258">
        <f t="shared" si="405"/>
        <v>0</v>
      </c>
      <c r="I3035" s="1375">
        <f t="shared" si="403"/>
        <v>6</v>
      </c>
      <c r="J3035" s="695">
        <f t="shared" si="403"/>
        <v>0</v>
      </c>
      <c r="K3035" s="650">
        <f t="shared" si="406"/>
        <v>0</v>
      </c>
    </row>
    <row r="3036" spans="1:11" ht="24.95" customHeight="1">
      <c r="A3036" s="1376" t="s">
        <v>5588</v>
      </c>
      <c r="B3036" s="1357" t="s">
        <v>5589</v>
      </c>
      <c r="C3036" s="1374">
        <v>5</v>
      </c>
      <c r="D3036" s="1374"/>
      <c r="E3036" s="1258">
        <f t="shared" si="404"/>
        <v>0</v>
      </c>
      <c r="F3036" s="732">
        <v>3</v>
      </c>
      <c r="G3036" s="732"/>
      <c r="H3036" s="1258">
        <f t="shared" si="405"/>
        <v>0</v>
      </c>
      <c r="I3036" s="1259">
        <f t="shared" si="403"/>
        <v>8</v>
      </c>
      <c r="J3036" s="695">
        <f t="shared" si="403"/>
        <v>0</v>
      </c>
      <c r="K3036" s="650">
        <f t="shared" si="406"/>
        <v>0</v>
      </c>
    </row>
    <row r="3037" spans="1:11" ht="24.95" customHeight="1">
      <c r="A3037" s="1376" t="s">
        <v>5590</v>
      </c>
      <c r="B3037" s="1357" t="s">
        <v>5591</v>
      </c>
      <c r="C3037" s="1374">
        <v>5</v>
      </c>
      <c r="D3037" s="1374"/>
      <c r="E3037" s="1258">
        <f t="shared" si="404"/>
        <v>0</v>
      </c>
      <c r="F3037" s="732">
        <v>2</v>
      </c>
      <c r="G3037" s="732"/>
      <c r="H3037" s="1258">
        <f t="shared" si="405"/>
        <v>0</v>
      </c>
      <c r="I3037" s="1259">
        <f t="shared" si="403"/>
        <v>7</v>
      </c>
      <c r="J3037" s="695">
        <f t="shared" si="403"/>
        <v>0</v>
      </c>
      <c r="K3037" s="650">
        <f t="shared" si="406"/>
        <v>0</v>
      </c>
    </row>
    <row r="3038" spans="1:11" ht="24.95" customHeight="1">
      <c r="A3038" s="1376" t="s">
        <v>5592</v>
      </c>
      <c r="B3038" s="1357" t="s">
        <v>5593</v>
      </c>
      <c r="C3038" s="1374"/>
      <c r="D3038" s="1374"/>
      <c r="E3038" s="1258" t="e">
        <f t="shared" si="404"/>
        <v>#DIV/0!</v>
      </c>
      <c r="F3038" s="732">
        <v>5</v>
      </c>
      <c r="G3038" s="732">
        <v>1</v>
      </c>
      <c r="H3038" s="1258">
        <f t="shared" si="405"/>
        <v>0.2</v>
      </c>
      <c r="I3038" s="1259"/>
      <c r="J3038" s="695">
        <f t="shared" si="403"/>
        <v>1</v>
      </c>
      <c r="K3038" s="650" t="e">
        <f t="shared" si="406"/>
        <v>#DIV/0!</v>
      </c>
    </row>
    <row r="3039" spans="1:11" ht="24.95" customHeight="1">
      <c r="A3039" s="1376" t="s">
        <v>5594</v>
      </c>
      <c r="B3039" s="1357" t="s">
        <v>5595</v>
      </c>
      <c r="C3039" s="1374"/>
      <c r="D3039" s="1374">
        <v>1</v>
      </c>
      <c r="E3039" s="1258" t="e">
        <f t="shared" si="404"/>
        <v>#DIV/0!</v>
      </c>
      <c r="F3039" s="732">
        <v>50</v>
      </c>
      <c r="G3039" s="732">
        <v>26</v>
      </c>
      <c r="H3039" s="1258">
        <f t="shared" si="405"/>
        <v>0.52</v>
      </c>
      <c r="I3039" s="1259">
        <f>+C3039+F3039</f>
        <v>50</v>
      </c>
      <c r="J3039" s="695">
        <f t="shared" si="403"/>
        <v>27</v>
      </c>
      <c r="K3039" s="650">
        <f t="shared" si="406"/>
        <v>0.54</v>
      </c>
    </row>
    <row r="3040" spans="1:11" ht="24.95" customHeight="1">
      <c r="A3040" s="1376" t="s">
        <v>5596</v>
      </c>
      <c r="B3040" s="1357" t="s">
        <v>5597</v>
      </c>
      <c r="C3040" s="1374">
        <v>5</v>
      </c>
      <c r="D3040" s="1374"/>
      <c r="E3040" s="1258">
        <f t="shared" si="404"/>
        <v>0</v>
      </c>
      <c r="F3040" s="732">
        <v>5</v>
      </c>
      <c r="G3040" s="732">
        <v>1</v>
      </c>
      <c r="H3040" s="1258">
        <f t="shared" si="405"/>
        <v>0.2</v>
      </c>
      <c r="I3040" s="1259">
        <f>+C3040+F3040</f>
        <v>10</v>
      </c>
      <c r="J3040" s="695">
        <f t="shared" si="403"/>
        <v>1</v>
      </c>
      <c r="K3040" s="650">
        <f t="shared" si="406"/>
        <v>0.1</v>
      </c>
    </row>
    <row r="3041" spans="1:11" ht="24.95" customHeight="1">
      <c r="A3041" s="1376" t="s">
        <v>5598</v>
      </c>
      <c r="B3041" s="1357" t="s">
        <v>5599</v>
      </c>
      <c r="C3041" s="1374"/>
      <c r="D3041" s="1374"/>
      <c r="E3041" s="1258" t="e">
        <f t="shared" si="404"/>
        <v>#DIV/0!</v>
      </c>
      <c r="F3041" s="732">
        <v>2</v>
      </c>
      <c r="G3041" s="732">
        <v>1</v>
      </c>
      <c r="H3041" s="1258">
        <f t="shared" si="405"/>
        <v>0.5</v>
      </c>
      <c r="I3041" s="1259"/>
      <c r="J3041" s="695">
        <f t="shared" si="403"/>
        <v>1</v>
      </c>
      <c r="K3041" s="650" t="e">
        <f t="shared" si="406"/>
        <v>#DIV/0!</v>
      </c>
    </row>
    <row r="3042" spans="1:11" ht="24.95" customHeight="1">
      <c r="A3042" s="1376" t="s">
        <v>5600</v>
      </c>
      <c r="B3042" s="1357" t="s">
        <v>5601</v>
      </c>
      <c r="C3042" s="1374"/>
      <c r="D3042" s="1374"/>
      <c r="E3042" s="1258" t="e">
        <f t="shared" si="404"/>
        <v>#DIV/0!</v>
      </c>
      <c r="F3042" s="732">
        <v>1</v>
      </c>
      <c r="G3042" s="732"/>
      <c r="H3042" s="1258">
        <f t="shared" si="405"/>
        <v>0</v>
      </c>
      <c r="I3042" s="1259"/>
      <c r="J3042" s="695">
        <f t="shared" si="403"/>
        <v>0</v>
      </c>
      <c r="K3042" s="650" t="e">
        <f t="shared" si="406"/>
        <v>#DIV/0!</v>
      </c>
    </row>
    <row r="3043" spans="1:11" ht="24.95" customHeight="1">
      <c r="A3043" s="1376" t="s">
        <v>5602</v>
      </c>
      <c r="B3043" s="1357" t="s">
        <v>5603</v>
      </c>
      <c r="C3043" s="1374"/>
      <c r="D3043" s="1374"/>
      <c r="E3043" s="1258" t="e">
        <f t="shared" si="404"/>
        <v>#DIV/0!</v>
      </c>
      <c r="F3043" s="723">
        <v>1</v>
      </c>
      <c r="G3043" s="723"/>
      <c r="H3043" s="1258">
        <f t="shared" si="405"/>
        <v>0</v>
      </c>
      <c r="I3043" s="1259">
        <f t="shared" ref="I3043:J3074" si="407">+C3043+F3043</f>
        <v>1</v>
      </c>
      <c r="J3043" s="695">
        <f t="shared" si="407"/>
        <v>0</v>
      </c>
      <c r="K3043" s="650">
        <f t="shared" si="406"/>
        <v>0</v>
      </c>
    </row>
    <row r="3044" spans="1:11" ht="24.95" customHeight="1">
      <c r="A3044" s="1376" t="s">
        <v>5604</v>
      </c>
      <c r="B3044" s="1357" t="s">
        <v>5605</v>
      </c>
      <c r="C3044" s="1374">
        <v>5</v>
      </c>
      <c r="D3044" s="1374"/>
      <c r="E3044" s="1258">
        <f t="shared" si="404"/>
        <v>0</v>
      </c>
      <c r="F3044" s="723">
        <v>7</v>
      </c>
      <c r="G3044" s="723">
        <v>2</v>
      </c>
      <c r="H3044" s="1258">
        <f t="shared" si="405"/>
        <v>0.2857142857142857</v>
      </c>
      <c r="I3044" s="1259">
        <f t="shared" si="407"/>
        <v>12</v>
      </c>
      <c r="J3044" s="695">
        <f t="shared" si="407"/>
        <v>2</v>
      </c>
      <c r="K3044" s="650">
        <f t="shared" si="406"/>
        <v>0.16666666666666666</v>
      </c>
    </row>
    <row r="3045" spans="1:11" ht="24.95" customHeight="1">
      <c r="A3045" s="1376" t="s">
        <v>5606</v>
      </c>
      <c r="B3045" s="1357" t="s">
        <v>5607</v>
      </c>
      <c r="C3045" s="1374"/>
      <c r="D3045" s="1374"/>
      <c r="E3045" s="1258" t="e">
        <f t="shared" si="404"/>
        <v>#DIV/0!</v>
      </c>
      <c r="F3045" s="723">
        <v>1</v>
      </c>
      <c r="G3045" s="723"/>
      <c r="H3045" s="1258">
        <f t="shared" si="405"/>
        <v>0</v>
      </c>
      <c r="I3045" s="1259">
        <f t="shared" si="407"/>
        <v>1</v>
      </c>
      <c r="J3045" s="695">
        <f t="shared" si="407"/>
        <v>0</v>
      </c>
      <c r="K3045" s="650">
        <f t="shared" si="406"/>
        <v>0</v>
      </c>
    </row>
    <row r="3046" spans="1:11" ht="24.95" customHeight="1">
      <c r="A3046" s="1376" t="s">
        <v>5608</v>
      </c>
      <c r="B3046" s="1357" t="s">
        <v>5609</v>
      </c>
      <c r="C3046" s="1374"/>
      <c r="D3046" s="1374"/>
      <c r="E3046" s="1258" t="e">
        <f t="shared" si="404"/>
        <v>#DIV/0!</v>
      </c>
      <c r="F3046" s="723">
        <v>20</v>
      </c>
      <c r="G3046" s="723">
        <v>21</v>
      </c>
      <c r="H3046" s="1258">
        <f t="shared" si="405"/>
        <v>1.05</v>
      </c>
      <c r="I3046" s="1259">
        <f t="shared" si="407"/>
        <v>20</v>
      </c>
      <c r="J3046" s="695">
        <f t="shared" si="407"/>
        <v>21</v>
      </c>
      <c r="K3046" s="650">
        <f t="shared" si="406"/>
        <v>1.05</v>
      </c>
    </row>
    <row r="3047" spans="1:11" ht="24.95" customHeight="1">
      <c r="A3047" s="1376" t="s">
        <v>5610</v>
      </c>
      <c r="B3047" s="1357" t="s">
        <v>5611</v>
      </c>
      <c r="C3047" s="1374"/>
      <c r="D3047" s="1374"/>
      <c r="E3047" s="1258" t="e">
        <f t="shared" si="404"/>
        <v>#DIV/0!</v>
      </c>
      <c r="F3047" s="723"/>
      <c r="G3047" s="723"/>
      <c r="H3047" s="1258" t="e">
        <f t="shared" si="405"/>
        <v>#DIV/0!</v>
      </c>
      <c r="I3047" s="1259">
        <f t="shared" si="407"/>
        <v>0</v>
      </c>
      <c r="J3047" s="695">
        <f t="shared" si="407"/>
        <v>0</v>
      </c>
      <c r="K3047" s="650" t="e">
        <f t="shared" si="406"/>
        <v>#DIV/0!</v>
      </c>
    </row>
    <row r="3048" spans="1:11" ht="24.95" customHeight="1">
      <c r="A3048" s="1376" t="s">
        <v>2679</v>
      </c>
      <c r="B3048" s="1357" t="s">
        <v>2680</v>
      </c>
      <c r="C3048" s="1374"/>
      <c r="D3048" s="1374"/>
      <c r="E3048" s="1258" t="e">
        <f t="shared" si="404"/>
        <v>#DIV/0!</v>
      </c>
      <c r="F3048" s="723">
        <v>140</v>
      </c>
      <c r="G3048" s="723">
        <v>59</v>
      </c>
      <c r="H3048" s="1258">
        <f t="shared" si="405"/>
        <v>0.42142857142857143</v>
      </c>
      <c r="I3048" s="1259">
        <f t="shared" si="407"/>
        <v>140</v>
      </c>
      <c r="J3048" s="695">
        <f t="shared" si="407"/>
        <v>59</v>
      </c>
      <c r="K3048" s="650">
        <f t="shared" si="406"/>
        <v>0.42142857142857143</v>
      </c>
    </row>
    <row r="3049" spans="1:11" ht="24.95" customHeight="1">
      <c r="A3049" s="1376" t="s">
        <v>5612</v>
      </c>
      <c r="B3049" s="1357" t="s">
        <v>5613</v>
      </c>
      <c r="C3049" s="1374"/>
      <c r="D3049" s="1374"/>
      <c r="E3049" s="1258" t="e">
        <f t="shared" si="404"/>
        <v>#DIV/0!</v>
      </c>
      <c r="F3049" s="732"/>
      <c r="G3049" s="732"/>
      <c r="H3049" s="1258" t="e">
        <f t="shared" si="405"/>
        <v>#DIV/0!</v>
      </c>
      <c r="I3049" s="1259">
        <f t="shared" si="407"/>
        <v>0</v>
      </c>
      <c r="J3049" s="695">
        <f t="shared" si="407"/>
        <v>0</v>
      </c>
      <c r="K3049" s="650" t="e">
        <f t="shared" si="406"/>
        <v>#DIV/0!</v>
      </c>
    </row>
    <row r="3050" spans="1:11" ht="24.95" customHeight="1">
      <c r="A3050" s="1376" t="s">
        <v>5614</v>
      </c>
      <c r="B3050" s="1357" t="s">
        <v>5615</v>
      </c>
      <c r="C3050" s="1374"/>
      <c r="D3050" s="1374"/>
      <c r="E3050" s="1258" t="e">
        <f t="shared" si="404"/>
        <v>#DIV/0!</v>
      </c>
      <c r="F3050" s="723">
        <v>2</v>
      </c>
      <c r="G3050" s="723"/>
      <c r="H3050" s="1258">
        <f t="shared" si="405"/>
        <v>0</v>
      </c>
      <c r="I3050" s="1259">
        <f t="shared" si="407"/>
        <v>2</v>
      </c>
      <c r="J3050" s="695">
        <f t="shared" si="407"/>
        <v>0</v>
      </c>
      <c r="K3050" s="650">
        <f t="shared" si="406"/>
        <v>0</v>
      </c>
    </row>
    <row r="3051" spans="1:11" ht="24.95" customHeight="1">
      <c r="A3051" s="1376" t="s">
        <v>5616</v>
      </c>
      <c r="B3051" s="1357" t="s">
        <v>5617</v>
      </c>
      <c r="C3051" s="1374"/>
      <c r="D3051" s="1374"/>
      <c r="E3051" s="1258" t="e">
        <f t="shared" si="404"/>
        <v>#DIV/0!</v>
      </c>
      <c r="F3051" s="723">
        <v>2</v>
      </c>
      <c r="G3051" s="723"/>
      <c r="H3051" s="1258">
        <f t="shared" si="405"/>
        <v>0</v>
      </c>
      <c r="I3051" s="1259">
        <f t="shared" si="407"/>
        <v>2</v>
      </c>
      <c r="J3051" s="695">
        <f t="shared" si="407"/>
        <v>0</v>
      </c>
      <c r="K3051" s="650">
        <f t="shared" si="406"/>
        <v>0</v>
      </c>
    </row>
    <row r="3052" spans="1:11" ht="24.95" customHeight="1">
      <c r="A3052" s="1376" t="s">
        <v>5618</v>
      </c>
      <c r="B3052" s="1357" t="s">
        <v>5619</v>
      </c>
      <c r="C3052" s="1374"/>
      <c r="D3052" s="1374"/>
      <c r="E3052" s="1258" t="e">
        <f t="shared" si="404"/>
        <v>#DIV/0!</v>
      </c>
      <c r="F3052" s="723">
        <v>2</v>
      </c>
      <c r="G3052" s="723"/>
      <c r="H3052" s="1258">
        <f t="shared" si="405"/>
        <v>0</v>
      </c>
      <c r="I3052" s="1259">
        <f t="shared" si="407"/>
        <v>2</v>
      </c>
      <c r="J3052" s="695">
        <f t="shared" si="407"/>
        <v>0</v>
      </c>
      <c r="K3052" s="650">
        <f t="shared" si="406"/>
        <v>0</v>
      </c>
    </row>
    <row r="3053" spans="1:11" ht="24.95" customHeight="1">
      <c r="A3053" s="1376" t="s">
        <v>5620</v>
      </c>
      <c r="B3053" s="1357" t="s">
        <v>5621</v>
      </c>
      <c r="C3053" s="1374"/>
      <c r="D3053" s="1374"/>
      <c r="E3053" s="1258" t="e">
        <f t="shared" si="404"/>
        <v>#DIV/0!</v>
      </c>
      <c r="F3053" s="723">
        <v>5</v>
      </c>
      <c r="G3053" s="723">
        <v>1</v>
      </c>
      <c r="H3053" s="1258">
        <f t="shared" si="405"/>
        <v>0.2</v>
      </c>
      <c r="I3053" s="1259">
        <f t="shared" si="407"/>
        <v>5</v>
      </c>
      <c r="J3053" s="695">
        <f t="shared" si="407"/>
        <v>1</v>
      </c>
      <c r="K3053" s="650">
        <f t="shared" si="406"/>
        <v>0.2</v>
      </c>
    </row>
    <row r="3054" spans="1:11" ht="24.95" customHeight="1">
      <c r="A3054" s="1376" t="s">
        <v>5622</v>
      </c>
      <c r="B3054" s="1357" t="s">
        <v>5623</v>
      </c>
      <c r="C3054" s="1374"/>
      <c r="D3054" s="1374"/>
      <c r="E3054" s="1258" t="e">
        <f t="shared" si="404"/>
        <v>#DIV/0!</v>
      </c>
      <c r="F3054" s="723">
        <v>3</v>
      </c>
      <c r="G3054" s="723">
        <v>1</v>
      </c>
      <c r="H3054" s="1258">
        <f t="shared" si="405"/>
        <v>0.33333333333333331</v>
      </c>
      <c r="I3054" s="1259">
        <f t="shared" si="407"/>
        <v>3</v>
      </c>
      <c r="J3054" s="695">
        <f t="shared" si="407"/>
        <v>1</v>
      </c>
      <c r="K3054" s="650">
        <f t="shared" si="406"/>
        <v>0.33333333333333331</v>
      </c>
    </row>
    <row r="3055" spans="1:11" ht="24.95" customHeight="1">
      <c r="A3055" s="1376" t="s">
        <v>5624</v>
      </c>
      <c r="B3055" s="1357" t="s">
        <v>5625</v>
      </c>
      <c r="C3055" s="1374"/>
      <c r="D3055" s="1374"/>
      <c r="E3055" s="1258" t="e">
        <f t="shared" si="404"/>
        <v>#DIV/0!</v>
      </c>
      <c r="F3055" s="723">
        <v>5</v>
      </c>
      <c r="G3055" s="723"/>
      <c r="H3055" s="1258">
        <f t="shared" si="405"/>
        <v>0</v>
      </c>
      <c r="I3055" s="1259">
        <f t="shared" si="407"/>
        <v>5</v>
      </c>
      <c r="J3055" s="695">
        <f t="shared" si="407"/>
        <v>0</v>
      </c>
      <c r="K3055" s="650">
        <f t="shared" si="406"/>
        <v>0</v>
      </c>
    </row>
    <row r="3056" spans="1:11" ht="24.95" customHeight="1">
      <c r="A3056" s="1376" t="s">
        <v>5626</v>
      </c>
      <c r="B3056" s="1357" t="s">
        <v>5627</v>
      </c>
      <c r="C3056" s="1374"/>
      <c r="D3056" s="1374"/>
      <c r="E3056" s="1258" t="e">
        <f t="shared" si="404"/>
        <v>#DIV/0!</v>
      </c>
      <c r="F3056" s="723">
        <v>5</v>
      </c>
      <c r="G3056" s="723">
        <v>5</v>
      </c>
      <c r="H3056" s="1258">
        <f t="shared" si="405"/>
        <v>1</v>
      </c>
      <c r="I3056" s="1259">
        <f t="shared" si="407"/>
        <v>5</v>
      </c>
      <c r="J3056" s="695">
        <f t="shared" si="407"/>
        <v>5</v>
      </c>
      <c r="K3056" s="650">
        <f t="shared" si="406"/>
        <v>1</v>
      </c>
    </row>
    <row r="3057" spans="1:11" ht="24.95" customHeight="1">
      <c r="A3057" s="1376" t="s">
        <v>5628</v>
      </c>
      <c r="B3057" s="1357" t="s">
        <v>5629</v>
      </c>
      <c r="C3057" s="1374"/>
      <c r="D3057" s="1374"/>
      <c r="E3057" s="1258" t="e">
        <f t="shared" si="404"/>
        <v>#DIV/0!</v>
      </c>
      <c r="F3057" s="723">
        <v>5</v>
      </c>
      <c r="G3057" s="723">
        <v>1</v>
      </c>
      <c r="H3057" s="1258">
        <f t="shared" si="405"/>
        <v>0.2</v>
      </c>
      <c r="I3057" s="1259">
        <f t="shared" si="407"/>
        <v>5</v>
      </c>
      <c r="J3057" s="695">
        <f t="shared" si="407"/>
        <v>1</v>
      </c>
      <c r="K3057" s="650">
        <f t="shared" si="406"/>
        <v>0.2</v>
      </c>
    </row>
    <row r="3058" spans="1:11" ht="24.95" customHeight="1">
      <c r="A3058" s="1376" t="s">
        <v>5630</v>
      </c>
      <c r="B3058" s="1357" t="s">
        <v>5631</v>
      </c>
      <c r="C3058" s="1374"/>
      <c r="D3058" s="1374"/>
      <c r="E3058" s="1258" t="e">
        <f t="shared" si="404"/>
        <v>#DIV/0!</v>
      </c>
      <c r="F3058" s="1377">
        <v>35</v>
      </c>
      <c r="G3058" s="1377">
        <v>7</v>
      </c>
      <c r="H3058" s="1258">
        <f t="shared" si="405"/>
        <v>0.2</v>
      </c>
      <c r="I3058" s="1259">
        <f t="shared" si="407"/>
        <v>35</v>
      </c>
      <c r="J3058" s="695">
        <f t="shared" si="407"/>
        <v>7</v>
      </c>
      <c r="K3058" s="650">
        <f t="shared" si="406"/>
        <v>0.2</v>
      </c>
    </row>
    <row r="3059" spans="1:11" ht="24.95" customHeight="1">
      <c r="A3059" s="1376" t="s">
        <v>5632</v>
      </c>
      <c r="B3059" s="1357" t="s">
        <v>5633</v>
      </c>
      <c r="C3059" s="1374"/>
      <c r="D3059" s="1374"/>
      <c r="E3059" s="1258" t="e">
        <f t="shared" si="404"/>
        <v>#DIV/0!</v>
      </c>
      <c r="F3059" s="1377">
        <v>5</v>
      </c>
      <c r="G3059" s="1377"/>
      <c r="H3059" s="1258">
        <f t="shared" si="405"/>
        <v>0</v>
      </c>
      <c r="I3059" s="1259">
        <f t="shared" si="407"/>
        <v>5</v>
      </c>
      <c r="J3059" s="695">
        <f t="shared" si="407"/>
        <v>0</v>
      </c>
      <c r="K3059" s="650">
        <f t="shared" si="406"/>
        <v>0</v>
      </c>
    </row>
    <row r="3060" spans="1:11" ht="24.95" customHeight="1">
      <c r="A3060" s="1376" t="s">
        <v>5634</v>
      </c>
      <c r="B3060" s="1357" t="s">
        <v>5635</v>
      </c>
      <c r="C3060" s="1374"/>
      <c r="D3060" s="1374"/>
      <c r="E3060" s="1258" t="e">
        <f t="shared" si="404"/>
        <v>#DIV/0!</v>
      </c>
      <c r="F3060" s="1377">
        <v>5</v>
      </c>
      <c r="G3060" s="1377"/>
      <c r="H3060" s="1258">
        <f t="shared" si="405"/>
        <v>0</v>
      </c>
      <c r="I3060" s="1259">
        <f t="shared" si="407"/>
        <v>5</v>
      </c>
      <c r="J3060" s="695">
        <f t="shared" si="407"/>
        <v>0</v>
      </c>
      <c r="K3060" s="650">
        <f t="shared" si="406"/>
        <v>0</v>
      </c>
    </row>
    <row r="3061" spans="1:11" ht="24.95" customHeight="1">
      <c r="A3061" s="1376" t="s">
        <v>5636</v>
      </c>
      <c r="B3061" s="1357" t="s">
        <v>5637</v>
      </c>
      <c r="C3061" s="1374"/>
      <c r="D3061" s="1374"/>
      <c r="E3061" s="1258" t="e">
        <f t="shared" si="404"/>
        <v>#DIV/0!</v>
      </c>
      <c r="F3061" s="1377">
        <v>2</v>
      </c>
      <c r="G3061" s="1377">
        <v>1</v>
      </c>
      <c r="H3061" s="1258">
        <f t="shared" si="405"/>
        <v>0.5</v>
      </c>
      <c r="I3061" s="1259">
        <f t="shared" si="407"/>
        <v>2</v>
      </c>
      <c r="J3061" s="695">
        <f t="shared" si="407"/>
        <v>1</v>
      </c>
      <c r="K3061" s="650">
        <f t="shared" si="406"/>
        <v>0.5</v>
      </c>
    </row>
    <row r="3062" spans="1:11" ht="24.95" customHeight="1">
      <c r="A3062" s="1376" t="s">
        <v>5638</v>
      </c>
      <c r="B3062" s="1357" t="s">
        <v>5639</v>
      </c>
      <c r="C3062" s="1374"/>
      <c r="D3062" s="1374"/>
      <c r="E3062" s="1258" t="e">
        <f t="shared" si="404"/>
        <v>#DIV/0!</v>
      </c>
      <c r="F3062" s="1377">
        <v>5</v>
      </c>
      <c r="G3062" s="1377">
        <v>1</v>
      </c>
      <c r="H3062" s="1258">
        <f t="shared" si="405"/>
        <v>0.2</v>
      </c>
      <c r="I3062" s="1259">
        <f t="shared" si="407"/>
        <v>5</v>
      </c>
      <c r="J3062" s="695">
        <f t="shared" si="407"/>
        <v>1</v>
      </c>
      <c r="K3062" s="650">
        <f t="shared" si="406"/>
        <v>0.2</v>
      </c>
    </row>
    <row r="3063" spans="1:11" ht="24.95" customHeight="1">
      <c r="A3063" s="1376" t="s">
        <v>5640</v>
      </c>
      <c r="B3063" s="1357" t="s">
        <v>5641</v>
      </c>
      <c r="C3063" s="1374"/>
      <c r="D3063" s="1374"/>
      <c r="E3063" s="1258" t="e">
        <f t="shared" si="404"/>
        <v>#DIV/0!</v>
      </c>
      <c r="F3063" s="1377">
        <v>15</v>
      </c>
      <c r="G3063" s="1377">
        <v>10</v>
      </c>
      <c r="H3063" s="1258">
        <f t="shared" si="405"/>
        <v>0.66666666666666663</v>
      </c>
      <c r="I3063" s="1259">
        <f t="shared" si="407"/>
        <v>15</v>
      </c>
      <c r="J3063" s="695">
        <f t="shared" si="407"/>
        <v>10</v>
      </c>
      <c r="K3063" s="650">
        <f t="shared" si="406"/>
        <v>0.66666666666666663</v>
      </c>
    </row>
    <row r="3064" spans="1:11" ht="24.95" customHeight="1">
      <c r="A3064" s="1376" t="s">
        <v>5642</v>
      </c>
      <c r="B3064" s="1357" t="s">
        <v>5643</v>
      </c>
      <c r="C3064" s="1374"/>
      <c r="D3064" s="1374"/>
      <c r="E3064" s="1258" t="e">
        <f t="shared" si="404"/>
        <v>#DIV/0!</v>
      </c>
      <c r="F3064" s="1377">
        <v>5</v>
      </c>
      <c r="G3064" s="1377">
        <v>2</v>
      </c>
      <c r="H3064" s="1258">
        <f t="shared" si="405"/>
        <v>0.4</v>
      </c>
      <c r="I3064" s="1259">
        <f t="shared" si="407"/>
        <v>5</v>
      </c>
      <c r="J3064" s="695">
        <f t="shared" si="407"/>
        <v>2</v>
      </c>
      <c r="K3064" s="650">
        <f t="shared" si="406"/>
        <v>0.4</v>
      </c>
    </row>
    <row r="3065" spans="1:11" ht="24.95" customHeight="1">
      <c r="A3065" s="1376" t="s">
        <v>5644</v>
      </c>
      <c r="B3065" s="1357" t="s">
        <v>5645</v>
      </c>
      <c r="C3065" s="1374"/>
      <c r="D3065" s="1374"/>
      <c r="E3065" s="1258" t="e">
        <f t="shared" si="404"/>
        <v>#DIV/0!</v>
      </c>
      <c r="F3065" s="1377">
        <v>10</v>
      </c>
      <c r="G3065" s="1377">
        <v>1</v>
      </c>
      <c r="H3065" s="1258">
        <f t="shared" si="405"/>
        <v>0.1</v>
      </c>
      <c r="I3065" s="1259">
        <f t="shared" si="407"/>
        <v>10</v>
      </c>
      <c r="J3065" s="695">
        <f t="shared" si="407"/>
        <v>1</v>
      </c>
      <c r="K3065" s="650">
        <f t="shared" si="406"/>
        <v>0.1</v>
      </c>
    </row>
    <row r="3066" spans="1:11" ht="24.95" customHeight="1">
      <c r="A3066" s="1376" t="s">
        <v>5646</v>
      </c>
      <c r="B3066" s="1357" t="s">
        <v>5647</v>
      </c>
      <c r="C3066" s="1374"/>
      <c r="D3066" s="1374"/>
      <c r="E3066" s="1258" t="e">
        <f t="shared" si="404"/>
        <v>#DIV/0!</v>
      </c>
      <c r="F3066" s="1377">
        <v>5</v>
      </c>
      <c r="G3066" s="1377">
        <v>5</v>
      </c>
      <c r="H3066" s="1258">
        <f t="shared" si="405"/>
        <v>1</v>
      </c>
      <c r="I3066" s="1259">
        <f t="shared" si="407"/>
        <v>5</v>
      </c>
      <c r="J3066" s="695">
        <f t="shared" si="407"/>
        <v>5</v>
      </c>
      <c r="K3066" s="650">
        <f t="shared" si="406"/>
        <v>1</v>
      </c>
    </row>
    <row r="3067" spans="1:11" ht="24.95" customHeight="1">
      <c r="A3067" s="1376" t="s">
        <v>5648</v>
      </c>
      <c r="B3067" s="1357" t="s">
        <v>5649</v>
      </c>
      <c r="C3067" s="1374"/>
      <c r="D3067" s="1374"/>
      <c r="E3067" s="1258" t="e">
        <f t="shared" si="404"/>
        <v>#DIV/0!</v>
      </c>
      <c r="F3067" s="1377">
        <v>5</v>
      </c>
      <c r="G3067" s="1377">
        <v>2</v>
      </c>
      <c r="H3067" s="1258">
        <f t="shared" si="405"/>
        <v>0.4</v>
      </c>
      <c r="I3067" s="1259">
        <f t="shared" si="407"/>
        <v>5</v>
      </c>
      <c r="J3067" s="695">
        <f t="shared" si="407"/>
        <v>2</v>
      </c>
      <c r="K3067" s="650">
        <f t="shared" si="406"/>
        <v>0.4</v>
      </c>
    </row>
    <row r="3068" spans="1:11" ht="24.95" customHeight="1">
      <c r="A3068" s="1376" t="s">
        <v>5650</v>
      </c>
      <c r="B3068" s="1357" t="s">
        <v>5651</v>
      </c>
      <c r="C3068" s="1374"/>
      <c r="D3068" s="1374"/>
      <c r="E3068" s="1258" t="e">
        <f t="shared" si="404"/>
        <v>#DIV/0!</v>
      </c>
      <c r="F3068" s="1377">
        <v>2</v>
      </c>
      <c r="G3068" s="1377"/>
      <c r="H3068" s="1258">
        <f t="shared" si="405"/>
        <v>0</v>
      </c>
      <c r="I3068" s="1259">
        <f t="shared" si="407"/>
        <v>2</v>
      </c>
      <c r="J3068" s="695">
        <f t="shared" si="407"/>
        <v>0</v>
      </c>
      <c r="K3068" s="650">
        <f t="shared" si="406"/>
        <v>0</v>
      </c>
    </row>
    <row r="3069" spans="1:11" ht="24.95" customHeight="1">
      <c r="A3069" s="1376" t="s">
        <v>5652</v>
      </c>
      <c r="B3069" s="1357" t="s">
        <v>5653</v>
      </c>
      <c r="C3069" s="1374"/>
      <c r="D3069" s="1374"/>
      <c r="E3069" s="1258" t="e">
        <f t="shared" si="404"/>
        <v>#DIV/0!</v>
      </c>
      <c r="F3069" s="1377">
        <v>3</v>
      </c>
      <c r="G3069" s="1377"/>
      <c r="H3069" s="1258">
        <f t="shared" si="405"/>
        <v>0</v>
      </c>
      <c r="I3069" s="1259">
        <f t="shared" si="407"/>
        <v>3</v>
      </c>
      <c r="J3069" s="695">
        <f t="shared" si="407"/>
        <v>0</v>
      </c>
      <c r="K3069" s="650">
        <f t="shared" si="406"/>
        <v>0</v>
      </c>
    </row>
    <row r="3070" spans="1:11" ht="24.95" customHeight="1">
      <c r="A3070" s="1376" t="s">
        <v>5654</v>
      </c>
      <c r="B3070" s="1357" t="s">
        <v>5655</v>
      </c>
      <c r="C3070" s="1374"/>
      <c r="D3070" s="1374"/>
      <c r="E3070" s="1258" t="e">
        <f t="shared" si="404"/>
        <v>#DIV/0!</v>
      </c>
      <c r="F3070" s="1377">
        <v>10</v>
      </c>
      <c r="G3070" s="1377">
        <v>2</v>
      </c>
      <c r="H3070" s="1258">
        <f t="shared" si="405"/>
        <v>0.2</v>
      </c>
      <c r="I3070" s="1259">
        <f t="shared" si="407"/>
        <v>10</v>
      </c>
      <c r="J3070" s="695">
        <f t="shared" si="407"/>
        <v>2</v>
      </c>
      <c r="K3070" s="650">
        <f t="shared" si="406"/>
        <v>0.2</v>
      </c>
    </row>
    <row r="3071" spans="1:11" ht="24.95" customHeight="1">
      <c r="A3071" s="1376" t="s">
        <v>5656</v>
      </c>
      <c r="B3071" s="1357" t="s">
        <v>5655</v>
      </c>
      <c r="C3071" s="1374"/>
      <c r="D3071" s="1374"/>
      <c r="E3071" s="1258" t="e">
        <f t="shared" si="404"/>
        <v>#DIV/0!</v>
      </c>
      <c r="F3071" s="1377">
        <v>20</v>
      </c>
      <c r="G3071" s="1377">
        <v>6</v>
      </c>
      <c r="H3071" s="1258">
        <f t="shared" si="405"/>
        <v>0.3</v>
      </c>
      <c r="I3071" s="1259">
        <f t="shared" si="407"/>
        <v>20</v>
      </c>
      <c r="J3071" s="695">
        <f t="shared" si="407"/>
        <v>6</v>
      </c>
      <c r="K3071" s="650">
        <f t="shared" si="406"/>
        <v>0.3</v>
      </c>
    </row>
    <row r="3072" spans="1:11" ht="24.95" customHeight="1">
      <c r="A3072" s="1376" t="s">
        <v>2681</v>
      </c>
      <c r="B3072" s="1357" t="s">
        <v>2682</v>
      </c>
      <c r="C3072" s="1374"/>
      <c r="D3072" s="1374"/>
      <c r="E3072" s="1258" t="e">
        <f t="shared" si="404"/>
        <v>#DIV/0!</v>
      </c>
      <c r="F3072" s="723">
        <v>90</v>
      </c>
      <c r="G3072" s="723">
        <v>44</v>
      </c>
      <c r="H3072" s="1258">
        <f t="shared" si="405"/>
        <v>0.48888888888888887</v>
      </c>
      <c r="I3072" s="1259">
        <f t="shared" si="407"/>
        <v>90</v>
      </c>
      <c r="J3072" s="695">
        <f t="shared" si="407"/>
        <v>44</v>
      </c>
      <c r="K3072" s="650">
        <f t="shared" si="406"/>
        <v>0.48888888888888887</v>
      </c>
    </row>
    <row r="3073" spans="1:11" ht="24.95" customHeight="1">
      <c r="A3073" s="1376" t="s">
        <v>5657</v>
      </c>
      <c r="B3073" s="1357" t="s">
        <v>5658</v>
      </c>
      <c r="C3073" s="1374"/>
      <c r="D3073" s="1374"/>
      <c r="E3073" s="1258" t="e">
        <f t="shared" si="404"/>
        <v>#DIV/0!</v>
      </c>
      <c r="F3073" s="723">
        <v>1</v>
      </c>
      <c r="G3073" s="723"/>
      <c r="H3073" s="1258">
        <f t="shared" si="405"/>
        <v>0</v>
      </c>
      <c r="I3073" s="1259">
        <f t="shared" si="407"/>
        <v>1</v>
      </c>
      <c r="J3073" s="695">
        <f t="shared" si="407"/>
        <v>0</v>
      </c>
      <c r="K3073" s="650">
        <f t="shared" si="406"/>
        <v>0</v>
      </c>
    </row>
    <row r="3074" spans="1:11" ht="24.95" customHeight="1">
      <c r="A3074" s="1376" t="s">
        <v>5659</v>
      </c>
      <c r="B3074" s="1357" t="s">
        <v>5660</v>
      </c>
      <c r="C3074" s="1374"/>
      <c r="D3074" s="1374"/>
      <c r="E3074" s="1258" t="e">
        <f t="shared" si="404"/>
        <v>#DIV/0!</v>
      </c>
      <c r="F3074" s="723">
        <v>1</v>
      </c>
      <c r="G3074" s="723"/>
      <c r="H3074" s="1258">
        <f t="shared" si="405"/>
        <v>0</v>
      </c>
      <c r="I3074" s="1259">
        <f t="shared" si="407"/>
        <v>1</v>
      </c>
      <c r="J3074" s="695">
        <f t="shared" si="407"/>
        <v>0</v>
      </c>
      <c r="K3074" s="650">
        <f t="shared" si="406"/>
        <v>0</v>
      </c>
    </row>
    <row r="3075" spans="1:11" ht="24.95" customHeight="1">
      <c r="A3075" s="1376" t="s">
        <v>5661</v>
      </c>
      <c r="B3075" s="1357" t="s">
        <v>5662</v>
      </c>
      <c r="C3075" s="1374"/>
      <c r="D3075" s="1374"/>
      <c r="E3075" s="1258" t="e">
        <f t="shared" si="404"/>
        <v>#DIV/0!</v>
      </c>
      <c r="F3075" s="723">
        <v>5</v>
      </c>
      <c r="G3075" s="723"/>
      <c r="H3075" s="1258">
        <f t="shared" si="405"/>
        <v>0</v>
      </c>
      <c r="I3075" s="1259">
        <f t="shared" ref="I3075:J3106" si="408">+C3075+F3075</f>
        <v>5</v>
      </c>
      <c r="J3075" s="695">
        <f t="shared" si="408"/>
        <v>0</v>
      </c>
      <c r="K3075" s="650">
        <f t="shared" si="406"/>
        <v>0</v>
      </c>
    </row>
    <row r="3076" spans="1:11" ht="24.95" customHeight="1">
      <c r="A3076" s="1376" t="s">
        <v>2685</v>
      </c>
      <c r="B3076" s="1357" t="s">
        <v>5663</v>
      </c>
      <c r="C3076" s="1374"/>
      <c r="D3076" s="1374"/>
      <c r="E3076" s="1258" t="e">
        <f t="shared" si="404"/>
        <v>#DIV/0!</v>
      </c>
      <c r="F3076" s="723">
        <v>40</v>
      </c>
      <c r="G3076" s="723">
        <v>22</v>
      </c>
      <c r="H3076" s="1258">
        <f t="shared" si="405"/>
        <v>0.55000000000000004</v>
      </c>
      <c r="I3076" s="1259">
        <f t="shared" si="408"/>
        <v>40</v>
      </c>
      <c r="J3076" s="695">
        <f t="shared" si="408"/>
        <v>22</v>
      </c>
      <c r="K3076" s="650">
        <f t="shared" si="406"/>
        <v>0.55000000000000004</v>
      </c>
    </row>
    <row r="3077" spans="1:11" ht="24.95" customHeight="1">
      <c r="A3077" s="1376" t="s">
        <v>5664</v>
      </c>
      <c r="B3077" s="1357" t="s">
        <v>5665</v>
      </c>
      <c r="C3077" s="1374"/>
      <c r="D3077" s="1374"/>
      <c r="E3077" s="1258" t="e">
        <f t="shared" si="404"/>
        <v>#DIV/0!</v>
      </c>
      <c r="F3077" s="723">
        <v>1</v>
      </c>
      <c r="G3077" s="723"/>
      <c r="H3077" s="1258">
        <f t="shared" si="405"/>
        <v>0</v>
      </c>
      <c r="I3077" s="1259">
        <f t="shared" si="408"/>
        <v>1</v>
      </c>
      <c r="J3077" s="695">
        <f t="shared" si="408"/>
        <v>0</v>
      </c>
      <c r="K3077" s="650">
        <f t="shared" si="406"/>
        <v>0</v>
      </c>
    </row>
    <row r="3078" spans="1:11" ht="24.95" customHeight="1">
      <c r="A3078" s="1376" t="s">
        <v>2687</v>
      </c>
      <c r="B3078" s="1378" t="s">
        <v>5666</v>
      </c>
      <c r="C3078" s="1374"/>
      <c r="D3078" s="1374"/>
      <c r="E3078" s="1258" t="e">
        <f t="shared" si="404"/>
        <v>#DIV/0!</v>
      </c>
      <c r="F3078" s="723">
        <v>35</v>
      </c>
      <c r="G3078" s="723">
        <v>14</v>
      </c>
      <c r="H3078" s="1258">
        <f t="shared" si="405"/>
        <v>0.4</v>
      </c>
      <c r="I3078" s="1259">
        <f t="shared" si="408"/>
        <v>35</v>
      </c>
      <c r="J3078" s="695">
        <f t="shared" si="408"/>
        <v>14</v>
      </c>
      <c r="K3078" s="650">
        <f t="shared" si="406"/>
        <v>0.4</v>
      </c>
    </row>
    <row r="3079" spans="1:11" ht="24.95" customHeight="1">
      <c r="A3079" s="1376" t="s">
        <v>2689</v>
      </c>
      <c r="B3079" s="1378" t="s">
        <v>5312</v>
      </c>
      <c r="C3079" s="1374"/>
      <c r="D3079" s="1374">
        <v>1</v>
      </c>
      <c r="E3079" s="1258" t="e">
        <f t="shared" si="404"/>
        <v>#DIV/0!</v>
      </c>
      <c r="F3079" s="723">
        <v>290</v>
      </c>
      <c r="G3079" s="723">
        <v>105</v>
      </c>
      <c r="H3079" s="1258">
        <f t="shared" si="405"/>
        <v>0.36206896551724138</v>
      </c>
      <c r="I3079" s="1259">
        <f t="shared" si="408"/>
        <v>290</v>
      </c>
      <c r="J3079" s="695">
        <f t="shared" si="408"/>
        <v>106</v>
      </c>
      <c r="K3079" s="650">
        <f t="shared" si="406"/>
        <v>0.36551724137931035</v>
      </c>
    </row>
    <row r="3080" spans="1:11" ht="24.95" customHeight="1">
      <c r="A3080" s="1376" t="s">
        <v>2691</v>
      </c>
      <c r="B3080" s="1378" t="s">
        <v>5667</v>
      </c>
      <c r="C3080" s="1374"/>
      <c r="D3080" s="1374"/>
      <c r="E3080" s="1258" t="e">
        <f t="shared" si="404"/>
        <v>#DIV/0!</v>
      </c>
      <c r="F3080" s="723">
        <v>130</v>
      </c>
      <c r="G3080" s="723">
        <v>72</v>
      </c>
      <c r="H3080" s="1258">
        <f t="shared" si="405"/>
        <v>0.55384615384615388</v>
      </c>
      <c r="I3080" s="1259">
        <f t="shared" si="408"/>
        <v>130</v>
      </c>
      <c r="J3080" s="695">
        <f t="shared" si="408"/>
        <v>72</v>
      </c>
      <c r="K3080" s="650">
        <f t="shared" si="406"/>
        <v>0.55384615384615388</v>
      </c>
    </row>
    <row r="3081" spans="1:11" ht="24.95" customHeight="1">
      <c r="A3081" s="1376" t="s">
        <v>2693</v>
      </c>
      <c r="B3081" s="1378" t="s">
        <v>5668</v>
      </c>
      <c r="C3081" s="1374"/>
      <c r="D3081" s="1374"/>
      <c r="E3081" s="1258" t="e">
        <f t="shared" si="404"/>
        <v>#DIV/0!</v>
      </c>
      <c r="F3081" s="723">
        <v>2</v>
      </c>
      <c r="G3081" s="723">
        <v>1</v>
      </c>
      <c r="H3081" s="1258">
        <f t="shared" si="405"/>
        <v>0.5</v>
      </c>
      <c r="I3081" s="1259">
        <f t="shared" si="408"/>
        <v>2</v>
      </c>
      <c r="J3081" s="695">
        <f t="shared" si="408"/>
        <v>1</v>
      </c>
      <c r="K3081" s="650">
        <f t="shared" si="406"/>
        <v>0.5</v>
      </c>
    </row>
    <row r="3082" spans="1:11" ht="24.95" customHeight="1">
      <c r="A3082" s="1376" t="s">
        <v>5669</v>
      </c>
      <c r="B3082" s="1357" t="s">
        <v>5670</v>
      </c>
      <c r="C3082" s="1374"/>
      <c r="D3082" s="1374"/>
      <c r="E3082" s="1258" t="e">
        <f t="shared" si="404"/>
        <v>#DIV/0!</v>
      </c>
      <c r="F3082" s="723">
        <v>10</v>
      </c>
      <c r="G3082" s="723">
        <v>3</v>
      </c>
      <c r="H3082" s="1258">
        <f t="shared" si="405"/>
        <v>0.3</v>
      </c>
      <c r="I3082" s="1259">
        <f t="shared" si="408"/>
        <v>10</v>
      </c>
      <c r="J3082" s="695">
        <f t="shared" si="408"/>
        <v>3</v>
      </c>
      <c r="K3082" s="650">
        <f t="shared" si="406"/>
        <v>0.3</v>
      </c>
    </row>
    <row r="3083" spans="1:11" ht="24.95" customHeight="1">
      <c r="A3083" s="1376" t="s">
        <v>5671</v>
      </c>
      <c r="B3083" s="1357" t="s">
        <v>5672</v>
      </c>
      <c r="C3083" s="1374"/>
      <c r="D3083" s="1374"/>
      <c r="E3083" s="1258" t="e">
        <f t="shared" si="404"/>
        <v>#DIV/0!</v>
      </c>
      <c r="F3083" s="723">
        <v>25</v>
      </c>
      <c r="G3083" s="723">
        <v>12</v>
      </c>
      <c r="H3083" s="1258">
        <f t="shared" si="405"/>
        <v>0.48</v>
      </c>
      <c r="I3083" s="1259">
        <f t="shared" si="408"/>
        <v>25</v>
      </c>
      <c r="J3083" s="695">
        <f t="shared" si="408"/>
        <v>12</v>
      </c>
      <c r="K3083" s="650">
        <f t="shared" si="406"/>
        <v>0.48</v>
      </c>
    </row>
    <row r="3084" spans="1:11" ht="24.95" customHeight="1">
      <c r="A3084" s="1376" t="s">
        <v>5673</v>
      </c>
      <c r="B3084" s="1357" t="s">
        <v>5674</v>
      </c>
      <c r="C3084" s="1374"/>
      <c r="D3084" s="1374"/>
      <c r="E3084" s="1258" t="e">
        <f t="shared" si="404"/>
        <v>#DIV/0!</v>
      </c>
      <c r="F3084" s="723">
        <v>2</v>
      </c>
      <c r="G3084" s="723">
        <v>2</v>
      </c>
      <c r="H3084" s="1258">
        <f t="shared" si="405"/>
        <v>1</v>
      </c>
      <c r="I3084" s="1259">
        <f t="shared" si="408"/>
        <v>2</v>
      </c>
      <c r="J3084" s="695">
        <f t="shared" si="408"/>
        <v>2</v>
      </c>
      <c r="K3084" s="650">
        <f t="shared" si="406"/>
        <v>1</v>
      </c>
    </row>
    <row r="3085" spans="1:11" ht="24.95" customHeight="1">
      <c r="A3085" s="1376" t="s">
        <v>5675</v>
      </c>
      <c r="B3085" s="1357" t="s">
        <v>5676</v>
      </c>
      <c r="C3085" s="1374"/>
      <c r="D3085" s="1374"/>
      <c r="E3085" s="1258" t="e">
        <f t="shared" si="404"/>
        <v>#DIV/0!</v>
      </c>
      <c r="F3085" s="1377">
        <v>1</v>
      </c>
      <c r="G3085" s="1377"/>
      <c r="H3085" s="1258">
        <f t="shared" si="405"/>
        <v>0</v>
      </c>
      <c r="I3085" s="1259">
        <f t="shared" si="408"/>
        <v>1</v>
      </c>
      <c r="J3085" s="695">
        <f t="shared" si="408"/>
        <v>0</v>
      </c>
      <c r="K3085" s="650">
        <f t="shared" si="406"/>
        <v>0</v>
      </c>
    </row>
    <row r="3086" spans="1:11" ht="24.95" customHeight="1">
      <c r="A3086" s="1376" t="s">
        <v>5677</v>
      </c>
      <c r="B3086" s="1357" t="s">
        <v>5678</v>
      </c>
      <c r="C3086" s="1374"/>
      <c r="D3086" s="1374"/>
      <c r="E3086" s="1258" t="e">
        <f t="shared" si="404"/>
        <v>#DIV/0!</v>
      </c>
      <c r="F3086" s="1377">
        <v>10</v>
      </c>
      <c r="G3086" s="1377">
        <v>3</v>
      </c>
      <c r="H3086" s="1258">
        <f t="shared" si="405"/>
        <v>0.3</v>
      </c>
      <c r="I3086" s="1259">
        <f t="shared" si="408"/>
        <v>10</v>
      </c>
      <c r="J3086" s="695">
        <f t="shared" si="408"/>
        <v>3</v>
      </c>
      <c r="K3086" s="650">
        <f t="shared" si="406"/>
        <v>0.3</v>
      </c>
    </row>
    <row r="3087" spans="1:11" ht="24.95" customHeight="1">
      <c r="A3087" s="1376" t="s">
        <v>5679</v>
      </c>
      <c r="B3087" s="1357" t="s">
        <v>5680</v>
      </c>
      <c r="C3087" s="1374"/>
      <c r="D3087" s="1374"/>
      <c r="E3087" s="1258" t="e">
        <f t="shared" si="404"/>
        <v>#DIV/0!</v>
      </c>
      <c r="F3087" s="1377"/>
      <c r="G3087" s="1377">
        <v>1</v>
      </c>
      <c r="H3087" s="1258" t="e">
        <f t="shared" si="405"/>
        <v>#DIV/0!</v>
      </c>
      <c r="I3087" s="1259">
        <f t="shared" si="408"/>
        <v>0</v>
      </c>
      <c r="J3087" s="695">
        <f t="shared" si="408"/>
        <v>1</v>
      </c>
      <c r="K3087" s="650" t="e">
        <f t="shared" si="406"/>
        <v>#DIV/0!</v>
      </c>
    </row>
    <row r="3088" spans="1:11" ht="24.95" customHeight="1">
      <c r="A3088" s="1376" t="s">
        <v>5681</v>
      </c>
      <c r="B3088" s="1378" t="s">
        <v>5682</v>
      </c>
      <c r="C3088" s="1374"/>
      <c r="D3088" s="1374"/>
      <c r="E3088" s="1258" t="e">
        <f t="shared" si="404"/>
        <v>#DIV/0!</v>
      </c>
      <c r="F3088" s="1377"/>
      <c r="G3088" s="1377">
        <v>1</v>
      </c>
      <c r="H3088" s="1258" t="e">
        <f t="shared" si="405"/>
        <v>#DIV/0!</v>
      </c>
      <c r="I3088" s="1259">
        <f t="shared" si="408"/>
        <v>0</v>
      </c>
      <c r="J3088" s="695">
        <f t="shared" si="408"/>
        <v>1</v>
      </c>
      <c r="K3088" s="650" t="e">
        <f t="shared" si="406"/>
        <v>#DIV/0!</v>
      </c>
    </row>
    <row r="3089" spans="1:11" ht="24.95" customHeight="1">
      <c r="A3089" s="1235" t="s">
        <v>5683</v>
      </c>
      <c r="B3089" s="1379" t="s">
        <v>5684</v>
      </c>
      <c r="C3089" s="1374"/>
      <c r="D3089" s="1374"/>
      <c r="E3089" s="1258" t="e">
        <f t="shared" si="404"/>
        <v>#DIV/0!</v>
      </c>
      <c r="F3089" s="723">
        <v>15</v>
      </c>
      <c r="G3089" s="723">
        <v>4</v>
      </c>
      <c r="H3089" s="1258">
        <f t="shared" si="405"/>
        <v>0.26666666666666666</v>
      </c>
      <c r="I3089" s="1259">
        <f t="shared" si="408"/>
        <v>15</v>
      </c>
      <c r="J3089" s="695">
        <f t="shared" si="408"/>
        <v>4</v>
      </c>
      <c r="K3089" s="650">
        <f t="shared" si="406"/>
        <v>0.26666666666666666</v>
      </c>
    </row>
    <row r="3090" spans="1:11" ht="24.95" customHeight="1">
      <c r="A3090" s="1235" t="s">
        <v>5685</v>
      </c>
      <c r="B3090" s="1379" t="s">
        <v>5686</v>
      </c>
      <c r="C3090" s="1374"/>
      <c r="D3090" s="1374"/>
      <c r="E3090" s="1258" t="e">
        <f t="shared" si="404"/>
        <v>#DIV/0!</v>
      </c>
      <c r="F3090" s="723">
        <v>3</v>
      </c>
      <c r="G3090" s="723"/>
      <c r="H3090" s="1258">
        <f t="shared" si="405"/>
        <v>0</v>
      </c>
      <c r="I3090" s="1259">
        <f t="shared" si="408"/>
        <v>3</v>
      </c>
      <c r="J3090" s="695">
        <f t="shared" si="408"/>
        <v>0</v>
      </c>
      <c r="K3090" s="650">
        <f t="shared" si="406"/>
        <v>0</v>
      </c>
    </row>
    <row r="3091" spans="1:11" ht="24.95" customHeight="1">
      <c r="A3091" s="1376" t="s">
        <v>5687</v>
      </c>
      <c r="B3091" s="1357" t="s">
        <v>5688</v>
      </c>
      <c r="C3091" s="1374"/>
      <c r="D3091" s="1374"/>
      <c r="E3091" s="1258" t="e">
        <f t="shared" si="404"/>
        <v>#DIV/0!</v>
      </c>
      <c r="F3091" s="723">
        <v>7</v>
      </c>
      <c r="G3091" s="723">
        <v>4</v>
      </c>
      <c r="H3091" s="1258">
        <f t="shared" si="405"/>
        <v>0.5714285714285714</v>
      </c>
      <c r="I3091" s="1259">
        <f t="shared" si="408"/>
        <v>7</v>
      </c>
      <c r="J3091" s="695">
        <f t="shared" si="408"/>
        <v>4</v>
      </c>
      <c r="K3091" s="650">
        <f t="shared" si="406"/>
        <v>0.5714285714285714</v>
      </c>
    </row>
    <row r="3092" spans="1:11" ht="24.95" customHeight="1">
      <c r="A3092" s="1376" t="s">
        <v>5689</v>
      </c>
      <c r="B3092" s="1357" t="s">
        <v>5690</v>
      </c>
      <c r="C3092" s="1374"/>
      <c r="D3092" s="1374"/>
      <c r="E3092" s="1258" t="e">
        <f t="shared" ref="E3092:E3155" si="409">+D3092/C3092</f>
        <v>#DIV/0!</v>
      </c>
      <c r="F3092" s="723">
        <v>1</v>
      </c>
      <c r="G3092" s="723"/>
      <c r="H3092" s="1258">
        <f t="shared" ref="H3092:H3155" si="410">+G3092/F3092</f>
        <v>0</v>
      </c>
      <c r="I3092" s="1259">
        <f t="shared" si="408"/>
        <v>1</v>
      </c>
      <c r="J3092" s="695">
        <f t="shared" si="408"/>
        <v>0</v>
      </c>
      <c r="K3092" s="650">
        <f t="shared" ref="K3092:K3155" si="411">+J3092/I3092</f>
        <v>0</v>
      </c>
    </row>
    <row r="3093" spans="1:11" ht="24.95" customHeight="1">
      <c r="A3093" s="1376" t="s">
        <v>5691</v>
      </c>
      <c r="B3093" s="1378" t="s">
        <v>5692</v>
      </c>
      <c r="C3093" s="1374"/>
      <c r="D3093" s="1374"/>
      <c r="E3093" s="1258" t="e">
        <f t="shared" si="409"/>
        <v>#DIV/0!</v>
      </c>
      <c r="F3093" s="723">
        <v>3</v>
      </c>
      <c r="G3093" s="723">
        <v>2</v>
      </c>
      <c r="H3093" s="1258">
        <f t="shared" si="410"/>
        <v>0.66666666666666663</v>
      </c>
      <c r="I3093" s="1259">
        <f t="shared" si="408"/>
        <v>3</v>
      </c>
      <c r="J3093" s="695">
        <f t="shared" si="408"/>
        <v>2</v>
      </c>
      <c r="K3093" s="650">
        <f t="shared" si="411"/>
        <v>0.66666666666666663</v>
      </c>
    </row>
    <row r="3094" spans="1:11" ht="24.95" customHeight="1">
      <c r="A3094" s="1376" t="s">
        <v>5693</v>
      </c>
      <c r="B3094" s="1379" t="s">
        <v>5694</v>
      </c>
      <c r="C3094" s="1374"/>
      <c r="D3094" s="1374"/>
      <c r="E3094" s="1258" t="e">
        <f t="shared" si="409"/>
        <v>#DIV/0!</v>
      </c>
      <c r="F3094" s="723">
        <v>2</v>
      </c>
      <c r="G3094" s="723">
        <v>2</v>
      </c>
      <c r="H3094" s="1258">
        <f t="shared" si="410"/>
        <v>1</v>
      </c>
      <c r="I3094" s="1259">
        <f t="shared" si="408"/>
        <v>2</v>
      </c>
      <c r="J3094" s="695">
        <f t="shared" si="408"/>
        <v>2</v>
      </c>
      <c r="K3094" s="650">
        <f t="shared" si="411"/>
        <v>1</v>
      </c>
    </row>
    <row r="3095" spans="1:11" ht="24.95" customHeight="1">
      <c r="A3095" s="1376" t="s">
        <v>5695</v>
      </c>
      <c r="B3095" s="1357" t="s">
        <v>5645</v>
      </c>
      <c r="C3095" s="1374"/>
      <c r="D3095" s="1374"/>
      <c r="E3095" s="1258" t="e">
        <f t="shared" si="409"/>
        <v>#DIV/0!</v>
      </c>
      <c r="F3095" s="723">
        <v>60</v>
      </c>
      <c r="G3095" s="723">
        <v>23</v>
      </c>
      <c r="H3095" s="1258">
        <f t="shared" si="410"/>
        <v>0.38333333333333336</v>
      </c>
      <c r="I3095" s="1259">
        <f t="shared" si="408"/>
        <v>60</v>
      </c>
      <c r="J3095" s="695">
        <f t="shared" si="408"/>
        <v>23</v>
      </c>
      <c r="K3095" s="650">
        <f t="shared" si="411"/>
        <v>0.38333333333333336</v>
      </c>
    </row>
    <row r="3096" spans="1:11" ht="24.95" customHeight="1">
      <c r="A3096" s="1376" t="s">
        <v>5696</v>
      </c>
      <c r="B3096" s="1357" t="s">
        <v>5697</v>
      </c>
      <c r="C3096" s="1374"/>
      <c r="D3096" s="1374"/>
      <c r="E3096" s="1258" t="e">
        <f t="shared" si="409"/>
        <v>#DIV/0!</v>
      </c>
      <c r="F3096" s="723">
        <v>180</v>
      </c>
      <c r="G3096" s="723">
        <v>95</v>
      </c>
      <c r="H3096" s="1258">
        <f t="shared" si="410"/>
        <v>0.52777777777777779</v>
      </c>
      <c r="I3096" s="1259">
        <f t="shared" si="408"/>
        <v>180</v>
      </c>
      <c r="J3096" s="695">
        <f t="shared" si="408"/>
        <v>95</v>
      </c>
      <c r="K3096" s="650">
        <f t="shared" si="411"/>
        <v>0.52777777777777779</v>
      </c>
    </row>
    <row r="3097" spans="1:11" ht="24.95" customHeight="1">
      <c r="A3097" s="1376" t="s">
        <v>5698</v>
      </c>
      <c r="B3097" s="1357" t="s">
        <v>5699</v>
      </c>
      <c r="C3097" s="1374"/>
      <c r="D3097" s="1374"/>
      <c r="E3097" s="1258" t="e">
        <f t="shared" si="409"/>
        <v>#DIV/0!</v>
      </c>
      <c r="F3097" s="723">
        <v>20</v>
      </c>
      <c r="G3097" s="723">
        <v>8</v>
      </c>
      <c r="H3097" s="1258">
        <f t="shared" si="410"/>
        <v>0.4</v>
      </c>
      <c r="I3097" s="1259">
        <f t="shared" si="408"/>
        <v>20</v>
      </c>
      <c r="J3097" s="695">
        <f t="shared" si="408"/>
        <v>8</v>
      </c>
      <c r="K3097" s="650">
        <f t="shared" si="411"/>
        <v>0.4</v>
      </c>
    </row>
    <row r="3098" spans="1:11" ht="24.95" customHeight="1">
      <c r="A3098" s="1376" t="s">
        <v>5700</v>
      </c>
      <c r="B3098" s="1357" t="s">
        <v>5701</v>
      </c>
      <c r="C3098" s="1374"/>
      <c r="D3098" s="1374"/>
      <c r="E3098" s="1258" t="e">
        <f t="shared" si="409"/>
        <v>#DIV/0!</v>
      </c>
      <c r="F3098" s="723">
        <v>1</v>
      </c>
      <c r="G3098" s="723"/>
      <c r="H3098" s="1258">
        <f t="shared" si="410"/>
        <v>0</v>
      </c>
      <c r="I3098" s="1259">
        <f t="shared" si="408"/>
        <v>1</v>
      </c>
      <c r="J3098" s="695">
        <f t="shared" si="408"/>
        <v>0</v>
      </c>
      <c r="K3098" s="650">
        <f t="shared" si="411"/>
        <v>0</v>
      </c>
    </row>
    <row r="3099" spans="1:11" ht="24.95" customHeight="1">
      <c r="A3099" s="1376" t="s">
        <v>5702</v>
      </c>
      <c r="B3099" s="1357" t="s">
        <v>5703</v>
      </c>
      <c r="C3099" s="1374"/>
      <c r="D3099" s="1374"/>
      <c r="E3099" s="1258" t="e">
        <f t="shared" si="409"/>
        <v>#DIV/0!</v>
      </c>
      <c r="F3099" s="723">
        <v>3</v>
      </c>
      <c r="G3099" s="723"/>
      <c r="H3099" s="1258">
        <f t="shared" si="410"/>
        <v>0</v>
      </c>
      <c r="I3099" s="1259">
        <f t="shared" si="408"/>
        <v>3</v>
      </c>
      <c r="J3099" s="695">
        <f t="shared" si="408"/>
        <v>0</v>
      </c>
      <c r="K3099" s="650">
        <f t="shared" si="411"/>
        <v>0</v>
      </c>
    </row>
    <row r="3100" spans="1:11" ht="24.95" customHeight="1">
      <c r="A3100" s="1376" t="s">
        <v>5704</v>
      </c>
      <c r="B3100" s="1357" t="s">
        <v>5705</v>
      </c>
      <c r="C3100" s="1374"/>
      <c r="D3100" s="1374"/>
      <c r="E3100" s="1258" t="e">
        <f t="shared" si="409"/>
        <v>#DIV/0!</v>
      </c>
      <c r="F3100" s="723">
        <v>0</v>
      </c>
      <c r="G3100" s="723"/>
      <c r="H3100" s="1258" t="e">
        <f t="shared" si="410"/>
        <v>#DIV/0!</v>
      </c>
      <c r="I3100" s="1259">
        <f t="shared" si="408"/>
        <v>0</v>
      </c>
      <c r="J3100" s="695">
        <f t="shared" si="408"/>
        <v>0</v>
      </c>
      <c r="K3100" s="650" t="e">
        <f t="shared" si="411"/>
        <v>#DIV/0!</v>
      </c>
    </row>
    <row r="3101" spans="1:11" ht="24.95" customHeight="1">
      <c r="A3101" s="1376" t="s">
        <v>5706</v>
      </c>
      <c r="B3101" s="1357" t="s">
        <v>5707</v>
      </c>
      <c r="C3101" s="1374"/>
      <c r="D3101" s="1374"/>
      <c r="E3101" s="1258" t="e">
        <f t="shared" si="409"/>
        <v>#DIV/0!</v>
      </c>
      <c r="F3101" s="723">
        <v>10</v>
      </c>
      <c r="G3101" s="723">
        <v>1</v>
      </c>
      <c r="H3101" s="1258">
        <f t="shared" si="410"/>
        <v>0.1</v>
      </c>
      <c r="I3101" s="1259">
        <f t="shared" si="408"/>
        <v>10</v>
      </c>
      <c r="J3101" s="695">
        <f t="shared" si="408"/>
        <v>1</v>
      </c>
      <c r="K3101" s="650">
        <f t="shared" si="411"/>
        <v>0.1</v>
      </c>
    </row>
    <row r="3102" spans="1:11" ht="24.95" customHeight="1">
      <c r="A3102" s="1376" t="s">
        <v>5708</v>
      </c>
      <c r="B3102" s="1357" t="s">
        <v>5709</v>
      </c>
      <c r="C3102" s="1374"/>
      <c r="D3102" s="1374"/>
      <c r="E3102" s="1258" t="e">
        <f t="shared" si="409"/>
        <v>#DIV/0!</v>
      </c>
      <c r="F3102" s="723">
        <v>5</v>
      </c>
      <c r="G3102" s="723">
        <v>5</v>
      </c>
      <c r="H3102" s="1258">
        <f t="shared" si="410"/>
        <v>1</v>
      </c>
      <c r="I3102" s="1259">
        <f t="shared" si="408"/>
        <v>5</v>
      </c>
      <c r="J3102" s="695">
        <f t="shared" si="408"/>
        <v>5</v>
      </c>
      <c r="K3102" s="650">
        <f t="shared" si="411"/>
        <v>1</v>
      </c>
    </row>
    <row r="3103" spans="1:11" ht="24.95" customHeight="1">
      <c r="A3103" s="1376" t="s">
        <v>5710</v>
      </c>
      <c r="B3103" s="1357" t="s">
        <v>5711</v>
      </c>
      <c r="C3103" s="1374"/>
      <c r="D3103" s="1374"/>
      <c r="E3103" s="1258" t="e">
        <f t="shared" si="409"/>
        <v>#DIV/0!</v>
      </c>
      <c r="F3103" s="723">
        <v>5</v>
      </c>
      <c r="G3103" s="723"/>
      <c r="H3103" s="1258">
        <f t="shared" si="410"/>
        <v>0</v>
      </c>
      <c r="I3103" s="1259">
        <f t="shared" si="408"/>
        <v>5</v>
      </c>
      <c r="J3103" s="695">
        <f t="shared" si="408"/>
        <v>0</v>
      </c>
      <c r="K3103" s="650">
        <f t="shared" si="411"/>
        <v>0</v>
      </c>
    </row>
    <row r="3104" spans="1:11" ht="24.95" customHeight="1">
      <c r="A3104" s="1376" t="s">
        <v>5712</v>
      </c>
      <c r="B3104" s="1357" t="s">
        <v>5713</v>
      </c>
      <c r="C3104" s="1374"/>
      <c r="D3104" s="1374"/>
      <c r="E3104" s="1258" t="e">
        <f t="shared" si="409"/>
        <v>#DIV/0!</v>
      </c>
      <c r="F3104" s="723">
        <v>2</v>
      </c>
      <c r="G3104" s="723">
        <v>1</v>
      </c>
      <c r="H3104" s="1258">
        <f t="shared" si="410"/>
        <v>0.5</v>
      </c>
      <c r="I3104" s="1259">
        <f t="shared" si="408"/>
        <v>2</v>
      </c>
      <c r="J3104" s="695">
        <f t="shared" si="408"/>
        <v>1</v>
      </c>
      <c r="K3104" s="650">
        <f t="shared" si="411"/>
        <v>0.5</v>
      </c>
    </row>
    <row r="3105" spans="1:11" ht="24.95" customHeight="1">
      <c r="A3105" s="1376" t="s">
        <v>5714</v>
      </c>
      <c r="B3105" s="1357" t="s">
        <v>5715</v>
      </c>
      <c r="C3105" s="1374"/>
      <c r="D3105" s="1374"/>
      <c r="E3105" s="1258" t="e">
        <f t="shared" si="409"/>
        <v>#DIV/0!</v>
      </c>
      <c r="F3105" s="723">
        <v>1</v>
      </c>
      <c r="G3105" s="723"/>
      <c r="H3105" s="1258">
        <f t="shared" si="410"/>
        <v>0</v>
      </c>
      <c r="I3105" s="1259">
        <f t="shared" si="408"/>
        <v>1</v>
      </c>
      <c r="J3105" s="695">
        <f t="shared" si="408"/>
        <v>0</v>
      </c>
      <c r="K3105" s="650">
        <f t="shared" si="411"/>
        <v>0</v>
      </c>
    </row>
    <row r="3106" spans="1:11" ht="24.95" customHeight="1">
      <c r="A3106" s="1376" t="s">
        <v>5716</v>
      </c>
      <c r="B3106" s="1357" t="s">
        <v>5717</v>
      </c>
      <c r="C3106" s="1374"/>
      <c r="D3106" s="1374"/>
      <c r="E3106" s="1258" t="e">
        <f t="shared" si="409"/>
        <v>#DIV/0!</v>
      </c>
      <c r="F3106" s="723">
        <v>6</v>
      </c>
      <c r="G3106" s="723">
        <v>3</v>
      </c>
      <c r="H3106" s="1258">
        <f t="shared" si="410"/>
        <v>0.5</v>
      </c>
      <c r="I3106" s="1259">
        <f t="shared" si="408"/>
        <v>6</v>
      </c>
      <c r="J3106" s="695">
        <f t="shared" si="408"/>
        <v>3</v>
      </c>
      <c r="K3106" s="650">
        <f t="shared" si="411"/>
        <v>0.5</v>
      </c>
    </row>
    <row r="3107" spans="1:11" ht="24.95" customHeight="1">
      <c r="A3107" s="1376" t="s">
        <v>5718</v>
      </c>
      <c r="B3107" s="1357" t="s">
        <v>5719</v>
      </c>
      <c r="C3107" s="1374"/>
      <c r="D3107" s="1374"/>
      <c r="E3107" s="1258" t="e">
        <f t="shared" si="409"/>
        <v>#DIV/0!</v>
      </c>
      <c r="F3107" s="723">
        <v>5</v>
      </c>
      <c r="G3107" s="723"/>
      <c r="H3107" s="1258">
        <f t="shared" si="410"/>
        <v>0</v>
      </c>
      <c r="I3107" s="1259">
        <f t="shared" ref="I3107:J3138" si="412">+C3107+F3107</f>
        <v>5</v>
      </c>
      <c r="J3107" s="695">
        <f t="shared" si="412"/>
        <v>0</v>
      </c>
      <c r="K3107" s="650">
        <f t="shared" si="411"/>
        <v>0</v>
      </c>
    </row>
    <row r="3108" spans="1:11" ht="24.95" customHeight="1">
      <c r="A3108" s="1376" t="s">
        <v>5720</v>
      </c>
      <c r="B3108" s="1357" t="s">
        <v>5721</v>
      </c>
      <c r="C3108" s="1374"/>
      <c r="D3108" s="1374"/>
      <c r="E3108" s="1258" t="e">
        <f t="shared" si="409"/>
        <v>#DIV/0!</v>
      </c>
      <c r="F3108" s="723">
        <v>5</v>
      </c>
      <c r="G3108" s="723"/>
      <c r="H3108" s="1258">
        <f t="shared" si="410"/>
        <v>0</v>
      </c>
      <c r="I3108" s="1259">
        <f t="shared" si="412"/>
        <v>5</v>
      </c>
      <c r="J3108" s="695">
        <f t="shared" si="412"/>
        <v>0</v>
      </c>
      <c r="K3108" s="650">
        <f t="shared" si="411"/>
        <v>0</v>
      </c>
    </row>
    <row r="3109" spans="1:11" ht="24.95" customHeight="1">
      <c r="A3109" s="1376" t="s">
        <v>5722</v>
      </c>
      <c r="B3109" s="1357" t="s">
        <v>5723</v>
      </c>
      <c r="C3109" s="1374"/>
      <c r="D3109" s="1374"/>
      <c r="E3109" s="1258" t="e">
        <f t="shared" si="409"/>
        <v>#DIV/0!</v>
      </c>
      <c r="F3109" s="723">
        <v>5</v>
      </c>
      <c r="G3109" s="723"/>
      <c r="H3109" s="1258">
        <f t="shared" si="410"/>
        <v>0</v>
      </c>
      <c r="I3109" s="1259">
        <f t="shared" si="412"/>
        <v>5</v>
      </c>
      <c r="J3109" s="695">
        <f t="shared" si="412"/>
        <v>0</v>
      </c>
      <c r="K3109" s="650">
        <f t="shared" si="411"/>
        <v>0</v>
      </c>
    </row>
    <row r="3110" spans="1:11" ht="24.95" customHeight="1">
      <c r="A3110" s="1376" t="s">
        <v>5724</v>
      </c>
      <c r="B3110" s="1379" t="s">
        <v>5725</v>
      </c>
      <c r="C3110" s="1374"/>
      <c r="D3110" s="1374"/>
      <c r="E3110" s="1258" t="e">
        <f t="shared" si="409"/>
        <v>#DIV/0!</v>
      </c>
      <c r="F3110" s="723"/>
      <c r="G3110" s="723"/>
      <c r="H3110" s="1258" t="e">
        <f t="shared" si="410"/>
        <v>#DIV/0!</v>
      </c>
      <c r="I3110" s="1259">
        <f t="shared" si="412"/>
        <v>0</v>
      </c>
      <c r="J3110" s="695">
        <f t="shared" si="412"/>
        <v>0</v>
      </c>
      <c r="K3110" s="650" t="e">
        <f t="shared" si="411"/>
        <v>#DIV/0!</v>
      </c>
    </row>
    <row r="3111" spans="1:11" ht="24.95" customHeight="1">
      <c r="A3111" s="1376" t="s">
        <v>5726</v>
      </c>
      <c r="B3111" s="1379" t="s">
        <v>5727</v>
      </c>
      <c r="C3111" s="1374"/>
      <c r="D3111" s="1374"/>
      <c r="E3111" s="1258" t="e">
        <f t="shared" si="409"/>
        <v>#DIV/0!</v>
      </c>
      <c r="F3111" s="723">
        <v>2</v>
      </c>
      <c r="G3111" s="723"/>
      <c r="H3111" s="1258">
        <f t="shared" si="410"/>
        <v>0</v>
      </c>
      <c r="I3111" s="1259">
        <f t="shared" si="412"/>
        <v>2</v>
      </c>
      <c r="J3111" s="695">
        <f t="shared" si="412"/>
        <v>0</v>
      </c>
      <c r="K3111" s="650">
        <f t="shared" si="411"/>
        <v>0</v>
      </c>
    </row>
    <row r="3112" spans="1:11" ht="24.95" customHeight="1">
      <c r="A3112" s="1376" t="s">
        <v>5728</v>
      </c>
      <c r="B3112" s="1379" t="s">
        <v>5729</v>
      </c>
      <c r="C3112" s="1374"/>
      <c r="D3112" s="1374"/>
      <c r="E3112" s="1258" t="e">
        <f t="shared" si="409"/>
        <v>#DIV/0!</v>
      </c>
      <c r="F3112" s="723">
        <v>3</v>
      </c>
      <c r="G3112" s="723"/>
      <c r="H3112" s="1258">
        <f t="shared" si="410"/>
        <v>0</v>
      </c>
      <c r="I3112" s="1259">
        <f t="shared" si="412"/>
        <v>3</v>
      </c>
      <c r="J3112" s="695">
        <f t="shared" si="412"/>
        <v>0</v>
      </c>
      <c r="K3112" s="650">
        <f t="shared" si="411"/>
        <v>0</v>
      </c>
    </row>
    <row r="3113" spans="1:11" ht="24.95" customHeight="1">
      <c r="A3113" s="1376" t="s">
        <v>5730</v>
      </c>
      <c r="B3113" s="1357" t="s">
        <v>5731</v>
      </c>
      <c r="C3113" s="1374"/>
      <c r="D3113" s="1374"/>
      <c r="E3113" s="1258" t="e">
        <f t="shared" si="409"/>
        <v>#DIV/0!</v>
      </c>
      <c r="F3113" s="723">
        <v>5</v>
      </c>
      <c r="G3113" s="723"/>
      <c r="H3113" s="1258">
        <f t="shared" si="410"/>
        <v>0</v>
      </c>
      <c r="I3113" s="1259">
        <f t="shared" si="412"/>
        <v>5</v>
      </c>
      <c r="J3113" s="695">
        <f t="shared" si="412"/>
        <v>0</v>
      </c>
      <c r="K3113" s="650">
        <f t="shared" si="411"/>
        <v>0</v>
      </c>
    </row>
    <row r="3114" spans="1:11" ht="24.95" customHeight="1">
      <c r="A3114" s="1376" t="s">
        <v>5732</v>
      </c>
      <c r="B3114" s="1357" t="s">
        <v>5733</v>
      </c>
      <c r="C3114" s="1374"/>
      <c r="D3114" s="1374"/>
      <c r="E3114" s="1258" t="e">
        <f t="shared" si="409"/>
        <v>#DIV/0!</v>
      </c>
      <c r="F3114" s="723">
        <v>3</v>
      </c>
      <c r="G3114" s="723"/>
      <c r="H3114" s="1258">
        <f t="shared" si="410"/>
        <v>0</v>
      </c>
      <c r="I3114" s="1259">
        <f t="shared" si="412"/>
        <v>3</v>
      </c>
      <c r="J3114" s="695">
        <f t="shared" si="412"/>
        <v>0</v>
      </c>
      <c r="K3114" s="650">
        <f t="shared" si="411"/>
        <v>0</v>
      </c>
    </row>
    <row r="3115" spans="1:11" ht="24.95" customHeight="1">
      <c r="A3115" s="1376" t="s">
        <v>5734</v>
      </c>
      <c r="B3115" s="1357" t="s">
        <v>5735</v>
      </c>
      <c r="C3115" s="1374"/>
      <c r="D3115" s="1374"/>
      <c r="E3115" s="1258" t="e">
        <f t="shared" si="409"/>
        <v>#DIV/0!</v>
      </c>
      <c r="F3115" s="723">
        <v>2</v>
      </c>
      <c r="G3115" s="723"/>
      <c r="H3115" s="1258">
        <f t="shared" si="410"/>
        <v>0</v>
      </c>
      <c r="I3115" s="1259">
        <f t="shared" si="412"/>
        <v>2</v>
      </c>
      <c r="J3115" s="695">
        <f t="shared" si="412"/>
        <v>0</v>
      </c>
      <c r="K3115" s="650">
        <f t="shared" si="411"/>
        <v>0</v>
      </c>
    </row>
    <row r="3116" spans="1:11" ht="24.95" customHeight="1">
      <c r="A3116" s="1376" t="s">
        <v>5736</v>
      </c>
      <c r="B3116" s="1357" t="s">
        <v>5737</v>
      </c>
      <c r="C3116" s="1374"/>
      <c r="D3116" s="1374"/>
      <c r="E3116" s="1258" t="e">
        <f t="shared" si="409"/>
        <v>#DIV/0!</v>
      </c>
      <c r="F3116" s="723">
        <v>3</v>
      </c>
      <c r="G3116" s="723"/>
      <c r="H3116" s="1258">
        <f t="shared" si="410"/>
        <v>0</v>
      </c>
      <c r="I3116" s="1259">
        <f t="shared" si="412"/>
        <v>3</v>
      </c>
      <c r="J3116" s="695">
        <f t="shared" si="412"/>
        <v>0</v>
      </c>
      <c r="K3116" s="650">
        <f t="shared" si="411"/>
        <v>0</v>
      </c>
    </row>
    <row r="3117" spans="1:11" ht="24.95" customHeight="1">
      <c r="A3117" s="1376" t="s">
        <v>5738</v>
      </c>
      <c r="B3117" s="1357" t="s">
        <v>5739</v>
      </c>
      <c r="C3117" s="1374"/>
      <c r="D3117" s="1374"/>
      <c r="E3117" s="1258" t="e">
        <f t="shared" si="409"/>
        <v>#DIV/0!</v>
      </c>
      <c r="F3117" s="723">
        <v>0</v>
      </c>
      <c r="G3117" s="723"/>
      <c r="H3117" s="1258" t="e">
        <f t="shared" si="410"/>
        <v>#DIV/0!</v>
      </c>
      <c r="I3117" s="1259">
        <f t="shared" si="412"/>
        <v>0</v>
      </c>
      <c r="J3117" s="695">
        <f t="shared" si="412"/>
        <v>0</v>
      </c>
      <c r="K3117" s="650" t="e">
        <f t="shared" si="411"/>
        <v>#DIV/0!</v>
      </c>
    </row>
    <row r="3118" spans="1:11" ht="24.95" customHeight="1">
      <c r="A3118" s="1376" t="s">
        <v>5740</v>
      </c>
      <c r="B3118" s="1357" t="s">
        <v>5741</v>
      </c>
      <c r="C3118" s="1374"/>
      <c r="D3118" s="1374"/>
      <c r="E3118" s="1258" t="e">
        <f t="shared" si="409"/>
        <v>#DIV/0!</v>
      </c>
      <c r="F3118" s="723">
        <v>0</v>
      </c>
      <c r="G3118" s="723"/>
      <c r="H3118" s="1258" t="e">
        <f t="shared" si="410"/>
        <v>#DIV/0!</v>
      </c>
      <c r="I3118" s="1259">
        <f t="shared" si="412"/>
        <v>0</v>
      </c>
      <c r="J3118" s="695">
        <f t="shared" si="412"/>
        <v>0</v>
      </c>
      <c r="K3118" s="650" t="e">
        <f t="shared" si="411"/>
        <v>#DIV/0!</v>
      </c>
    </row>
    <row r="3119" spans="1:11" ht="24.95" customHeight="1">
      <c r="A3119" s="1376" t="s">
        <v>5742</v>
      </c>
      <c r="B3119" s="1357" t="s">
        <v>5743</v>
      </c>
      <c r="C3119" s="1374"/>
      <c r="D3119" s="1374"/>
      <c r="E3119" s="1258" t="e">
        <f t="shared" si="409"/>
        <v>#DIV/0!</v>
      </c>
      <c r="F3119" s="723">
        <v>10</v>
      </c>
      <c r="G3119" s="723">
        <v>4</v>
      </c>
      <c r="H3119" s="1258">
        <f t="shared" si="410"/>
        <v>0.4</v>
      </c>
      <c r="I3119" s="1259">
        <f t="shared" si="412"/>
        <v>10</v>
      </c>
      <c r="J3119" s="695">
        <f t="shared" si="412"/>
        <v>4</v>
      </c>
      <c r="K3119" s="650">
        <f t="shared" si="411"/>
        <v>0.4</v>
      </c>
    </row>
    <row r="3120" spans="1:11" ht="24.95" customHeight="1">
      <c r="A3120" s="1376" t="s">
        <v>5744</v>
      </c>
      <c r="B3120" s="1357" t="s">
        <v>5745</v>
      </c>
      <c r="C3120" s="1374"/>
      <c r="D3120" s="1374"/>
      <c r="E3120" s="1258" t="e">
        <f t="shared" si="409"/>
        <v>#DIV/0!</v>
      </c>
      <c r="F3120" s="723">
        <v>5</v>
      </c>
      <c r="G3120" s="723"/>
      <c r="H3120" s="1258">
        <f t="shared" si="410"/>
        <v>0</v>
      </c>
      <c r="I3120" s="1259">
        <f t="shared" si="412"/>
        <v>5</v>
      </c>
      <c r="J3120" s="695">
        <f t="shared" si="412"/>
        <v>0</v>
      </c>
      <c r="K3120" s="650">
        <f t="shared" si="411"/>
        <v>0</v>
      </c>
    </row>
    <row r="3121" spans="1:11" ht="24.95" customHeight="1">
      <c r="A3121" s="1376" t="s">
        <v>5746</v>
      </c>
      <c r="B3121" s="1357" t="s">
        <v>5747</v>
      </c>
      <c r="C3121" s="1374"/>
      <c r="D3121" s="1374"/>
      <c r="E3121" s="1258" t="e">
        <f t="shared" si="409"/>
        <v>#DIV/0!</v>
      </c>
      <c r="F3121" s="723">
        <v>20</v>
      </c>
      <c r="G3121" s="723">
        <v>4</v>
      </c>
      <c r="H3121" s="1258">
        <f t="shared" si="410"/>
        <v>0.2</v>
      </c>
      <c r="I3121" s="1259">
        <f t="shared" si="412"/>
        <v>20</v>
      </c>
      <c r="J3121" s="695">
        <f t="shared" si="412"/>
        <v>4</v>
      </c>
      <c r="K3121" s="650">
        <f t="shared" si="411"/>
        <v>0.2</v>
      </c>
    </row>
    <row r="3122" spans="1:11" ht="24.95" customHeight="1">
      <c r="A3122" s="1376" t="s">
        <v>5748</v>
      </c>
      <c r="B3122" s="1357" t="s">
        <v>5749</v>
      </c>
      <c r="C3122" s="1374"/>
      <c r="D3122" s="1374"/>
      <c r="E3122" s="1258" t="e">
        <f t="shared" si="409"/>
        <v>#DIV/0!</v>
      </c>
      <c r="F3122" s="723">
        <v>2</v>
      </c>
      <c r="G3122" s="723"/>
      <c r="H3122" s="1258">
        <f t="shared" si="410"/>
        <v>0</v>
      </c>
      <c r="I3122" s="1259">
        <f t="shared" si="412"/>
        <v>2</v>
      </c>
      <c r="J3122" s="695">
        <f t="shared" si="412"/>
        <v>0</v>
      </c>
      <c r="K3122" s="650">
        <f t="shared" si="411"/>
        <v>0</v>
      </c>
    </row>
    <row r="3123" spans="1:11" ht="24.95" customHeight="1">
      <c r="A3123" s="1376" t="s">
        <v>5750</v>
      </c>
      <c r="B3123" s="1357" t="s">
        <v>5751</v>
      </c>
      <c r="C3123" s="1374"/>
      <c r="D3123" s="1374"/>
      <c r="E3123" s="1258" t="e">
        <f t="shared" si="409"/>
        <v>#DIV/0!</v>
      </c>
      <c r="F3123" s="723">
        <v>2</v>
      </c>
      <c r="G3123" s="723"/>
      <c r="H3123" s="1258">
        <f t="shared" si="410"/>
        <v>0</v>
      </c>
      <c r="I3123" s="1259">
        <f t="shared" si="412"/>
        <v>2</v>
      </c>
      <c r="J3123" s="695">
        <f t="shared" si="412"/>
        <v>0</v>
      </c>
      <c r="K3123" s="650">
        <f t="shared" si="411"/>
        <v>0</v>
      </c>
    </row>
    <row r="3124" spans="1:11" ht="24.95" customHeight="1">
      <c r="A3124" s="1376" t="s">
        <v>5752</v>
      </c>
      <c r="B3124" s="1357" t="s">
        <v>5753</v>
      </c>
      <c r="C3124" s="1374"/>
      <c r="D3124" s="1374"/>
      <c r="E3124" s="1258" t="e">
        <f t="shared" si="409"/>
        <v>#DIV/0!</v>
      </c>
      <c r="F3124" s="723">
        <v>1</v>
      </c>
      <c r="G3124" s="723"/>
      <c r="H3124" s="1258">
        <f t="shared" si="410"/>
        <v>0</v>
      </c>
      <c r="I3124" s="1259">
        <f t="shared" si="412"/>
        <v>1</v>
      </c>
      <c r="J3124" s="695">
        <f t="shared" si="412"/>
        <v>0</v>
      </c>
      <c r="K3124" s="650">
        <f t="shared" si="411"/>
        <v>0</v>
      </c>
    </row>
    <row r="3125" spans="1:11" ht="24.95" customHeight="1">
      <c r="A3125" s="1376" t="s">
        <v>5754</v>
      </c>
      <c r="B3125" s="1357" t="s">
        <v>5753</v>
      </c>
      <c r="C3125" s="1374"/>
      <c r="D3125" s="1374"/>
      <c r="E3125" s="1258" t="e">
        <f t="shared" si="409"/>
        <v>#DIV/0!</v>
      </c>
      <c r="F3125" s="723">
        <v>2</v>
      </c>
      <c r="G3125" s="723"/>
      <c r="H3125" s="1258">
        <f t="shared" si="410"/>
        <v>0</v>
      </c>
      <c r="I3125" s="1259">
        <f t="shared" si="412"/>
        <v>2</v>
      </c>
      <c r="J3125" s="695">
        <f t="shared" si="412"/>
        <v>0</v>
      </c>
      <c r="K3125" s="650">
        <f t="shared" si="411"/>
        <v>0</v>
      </c>
    </row>
    <row r="3126" spans="1:11" ht="24.95" customHeight="1">
      <c r="A3126" s="1376" t="s">
        <v>5755</v>
      </c>
      <c r="B3126" s="1357" t="s">
        <v>5756</v>
      </c>
      <c r="C3126" s="1374"/>
      <c r="D3126" s="1374"/>
      <c r="E3126" s="1258" t="e">
        <f t="shared" si="409"/>
        <v>#DIV/0!</v>
      </c>
      <c r="F3126" s="723">
        <v>2</v>
      </c>
      <c r="G3126" s="723">
        <v>3</v>
      </c>
      <c r="H3126" s="1258">
        <f t="shared" si="410"/>
        <v>1.5</v>
      </c>
      <c r="I3126" s="1259">
        <f t="shared" si="412"/>
        <v>2</v>
      </c>
      <c r="J3126" s="695">
        <f t="shared" si="412"/>
        <v>3</v>
      </c>
      <c r="K3126" s="650">
        <f t="shared" si="411"/>
        <v>1.5</v>
      </c>
    </row>
    <row r="3127" spans="1:11" ht="24.95" customHeight="1">
      <c r="A3127" s="1376" t="s">
        <v>5757</v>
      </c>
      <c r="B3127" s="1357" t="s">
        <v>5758</v>
      </c>
      <c r="C3127" s="1374"/>
      <c r="D3127" s="1374"/>
      <c r="E3127" s="1258" t="e">
        <f t="shared" si="409"/>
        <v>#DIV/0!</v>
      </c>
      <c r="F3127" s="723">
        <v>2</v>
      </c>
      <c r="G3127" s="723">
        <v>1</v>
      </c>
      <c r="H3127" s="1258">
        <f t="shared" si="410"/>
        <v>0.5</v>
      </c>
      <c r="I3127" s="1259">
        <f t="shared" si="412"/>
        <v>2</v>
      </c>
      <c r="J3127" s="695">
        <f t="shared" si="412"/>
        <v>1</v>
      </c>
      <c r="K3127" s="650">
        <f t="shared" si="411"/>
        <v>0.5</v>
      </c>
    </row>
    <row r="3128" spans="1:11" ht="24.95" customHeight="1">
      <c r="A3128" s="1376" t="s">
        <v>5759</v>
      </c>
      <c r="B3128" s="1357" t="s">
        <v>5760</v>
      </c>
      <c r="C3128" s="1374"/>
      <c r="D3128" s="1374"/>
      <c r="E3128" s="1258" t="e">
        <f t="shared" si="409"/>
        <v>#DIV/0!</v>
      </c>
      <c r="F3128" s="723">
        <v>3</v>
      </c>
      <c r="G3128" s="723">
        <v>3</v>
      </c>
      <c r="H3128" s="1258">
        <f t="shared" si="410"/>
        <v>1</v>
      </c>
      <c r="I3128" s="1259">
        <f t="shared" si="412"/>
        <v>3</v>
      </c>
      <c r="J3128" s="695">
        <f t="shared" si="412"/>
        <v>3</v>
      </c>
      <c r="K3128" s="650">
        <f t="shared" si="411"/>
        <v>1</v>
      </c>
    </row>
    <row r="3129" spans="1:11" ht="24.95" customHeight="1">
      <c r="A3129" s="1376" t="s">
        <v>5761</v>
      </c>
      <c r="B3129" s="1357" t="s">
        <v>5762</v>
      </c>
      <c r="C3129" s="1374"/>
      <c r="D3129" s="1374"/>
      <c r="E3129" s="1258" t="e">
        <f t="shared" si="409"/>
        <v>#DIV/0!</v>
      </c>
      <c r="F3129" s="723">
        <v>5</v>
      </c>
      <c r="G3129" s="723"/>
      <c r="H3129" s="1258">
        <f t="shared" si="410"/>
        <v>0</v>
      </c>
      <c r="I3129" s="1259">
        <f t="shared" si="412"/>
        <v>5</v>
      </c>
      <c r="J3129" s="695">
        <f t="shared" si="412"/>
        <v>0</v>
      </c>
      <c r="K3129" s="650">
        <f t="shared" si="411"/>
        <v>0</v>
      </c>
    </row>
    <row r="3130" spans="1:11" ht="24.95" customHeight="1">
      <c r="A3130" s="1376" t="s">
        <v>5763</v>
      </c>
      <c r="B3130" s="1357" t="s">
        <v>5764</v>
      </c>
      <c r="C3130" s="1374"/>
      <c r="D3130" s="1374"/>
      <c r="E3130" s="1258" t="e">
        <f t="shared" si="409"/>
        <v>#DIV/0!</v>
      </c>
      <c r="F3130" s="723">
        <v>5</v>
      </c>
      <c r="G3130" s="723">
        <v>1</v>
      </c>
      <c r="H3130" s="1258">
        <f t="shared" si="410"/>
        <v>0.2</v>
      </c>
      <c r="I3130" s="1259">
        <f t="shared" si="412"/>
        <v>5</v>
      </c>
      <c r="J3130" s="695">
        <f t="shared" si="412"/>
        <v>1</v>
      </c>
      <c r="K3130" s="650">
        <f t="shared" si="411"/>
        <v>0.2</v>
      </c>
    </row>
    <row r="3131" spans="1:11" ht="24.95" customHeight="1">
      <c r="A3131" s="1376" t="s">
        <v>5765</v>
      </c>
      <c r="B3131" s="1357" t="s">
        <v>5766</v>
      </c>
      <c r="C3131" s="1374"/>
      <c r="D3131" s="1374"/>
      <c r="E3131" s="1258" t="e">
        <f t="shared" si="409"/>
        <v>#DIV/0!</v>
      </c>
      <c r="F3131" s="723">
        <v>1</v>
      </c>
      <c r="G3131" s="723"/>
      <c r="H3131" s="1258">
        <f t="shared" si="410"/>
        <v>0</v>
      </c>
      <c r="I3131" s="1259">
        <f t="shared" si="412"/>
        <v>1</v>
      </c>
      <c r="J3131" s="695">
        <f t="shared" si="412"/>
        <v>0</v>
      </c>
      <c r="K3131" s="650">
        <f t="shared" si="411"/>
        <v>0</v>
      </c>
    </row>
    <row r="3132" spans="1:11" ht="24.95" customHeight="1">
      <c r="A3132" s="1376" t="s">
        <v>5767</v>
      </c>
      <c r="B3132" s="1357" t="s">
        <v>5768</v>
      </c>
      <c r="C3132" s="1374"/>
      <c r="D3132" s="1374"/>
      <c r="E3132" s="1258" t="e">
        <f t="shared" si="409"/>
        <v>#DIV/0!</v>
      </c>
      <c r="F3132" s="723">
        <v>5</v>
      </c>
      <c r="G3132" s="723">
        <v>1</v>
      </c>
      <c r="H3132" s="1258">
        <f t="shared" si="410"/>
        <v>0.2</v>
      </c>
      <c r="I3132" s="1259">
        <f t="shared" si="412"/>
        <v>5</v>
      </c>
      <c r="J3132" s="695">
        <f t="shared" si="412"/>
        <v>1</v>
      </c>
      <c r="K3132" s="650">
        <f t="shared" si="411"/>
        <v>0.2</v>
      </c>
    </row>
    <row r="3133" spans="1:11" ht="24.95" customHeight="1">
      <c r="A3133" s="1376" t="s">
        <v>5769</v>
      </c>
      <c r="B3133" s="1357" t="s">
        <v>5770</v>
      </c>
      <c r="C3133" s="1374"/>
      <c r="D3133" s="1374"/>
      <c r="E3133" s="1258" t="e">
        <f t="shared" si="409"/>
        <v>#DIV/0!</v>
      </c>
      <c r="F3133" s="723"/>
      <c r="G3133" s="723"/>
      <c r="H3133" s="1258" t="e">
        <f t="shared" si="410"/>
        <v>#DIV/0!</v>
      </c>
      <c r="I3133" s="1259">
        <f t="shared" si="412"/>
        <v>0</v>
      </c>
      <c r="J3133" s="695">
        <f t="shared" si="412"/>
        <v>0</v>
      </c>
      <c r="K3133" s="650" t="e">
        <f t="shared" si="411"/>
        <v>#DIV/0!</v>
      </c>
    </row>
    <row r="3134" spans="1:11" ht="24.95" customHeight="1">
      <c r="A3134" s="1376" t="s">
        <v>5771</v>
      </c>
      <c r="B3134" s="1357" t="s">
        <v>5772</v>
      </c>
      <c r="C3134" s="1374"/>
      <c r="D3134" s="1374"/>
      <c r="E3134" s="1258" t="e">
        <f t="shared" si="409"/>
        <v>#DIV/0!</v>
      </c>
      <c r="F3134" s="723">
        <v>1</v>
      </c>
      <c r="G3134" s="723"/>
      <c r="H3134" s="1258">
        <f t="shared" si="410"/>
        <v>0</v>
      </c>
      <c r="I3134" s="1259">
        <f t="shared" si="412"/>
        <v>1</v>
      </c>
      <c r="J3134" s="695">
        <f t="shared" si="412"/>
        <v>0</v>
      </c>
      <c r="K3134" s="650">
        <f t="shared" si="411"/>
        <v>0</v>
      </c>
    </row>
    <row r="3135" spans="1:11" ht="24.95" customHeight="1">
      <c r="A3135" s="1376" t="s">
        <v>5773</v>
      </c>
      <c r="B3135" s="1357" t="s">
        <v>5774</v>
      </c>
      <c r="C3135" s="1374"/>
      <c r="D3135" s="1374"/>
      <c r="E3135" s="1258" t="e">
        <f t="shared" si="409"/>
        <v>#DIV/0!</v>
      </c>
      <c r="F3135" s="723">
        <v>2</v>
      </c>
      <c r="G3135" s="723"/>
      <c r="H3135" s="1258">
        <f t="shared" si="410"/>
        <v>0</v>
      </c>
      <c r="I3135" s="1259">
        <f t="shared" si="412"/>
        <v>2</v>
      </c>
      <c r="J3135" s="695">
        <f t="shared" si="412"/>
        <v>0</v>
      </c>
      <c r="K3135" s="650">
        <f t="shared" si="411"/>
        <v>0</v>
      </c>
    </row>
    <row r="3136" spans="1:11" ht="24.95" customHeight="1">
      <c r="A3136" s="1376" t="s">
        <v>5775</v>
      </c>
      <c r="B3136" s="1357" t="s">
        <v>5776</v>
      </c>
      <c r="C3136" s="1374"/>
      <c r="D3136" s="1374"/>
      <c r="E3136" s="1258" t="e">
        <f t="shared" si="409"/>
        <v>#DIV/0!</v>
      </c>
      <c r="F3136" s="723">
        <v>5</v>
      </c>
      <c r="G3136" s="723">
        <v>1</v>
      </c>
      <c r="H3136" s="1258">
        <f t="shared" si="410"/>
        <v>0.2</v>
      </c>
      <c r="I3136" s="1259">
        <f t="shared" si="412"/>
        <v>5</v>
      </c>
      <c r="J3136" s="695">
        <f t="shared" si="412"/>
        <v>1</v>
      </c>
      <c r="K3136" s="650">
        <f t="shared" si="411"/>
        <v>0.2</v>
      </c>
    </row>
    <row r="3137" spans="1:11" ht="24.95" customHeight="1">
      <c r="A3137" s="1376" t="s">
        <v>5777</v>
      </c>
      <c r="B3137" s="1357" t="s">
        <v>5778</v>
      </c>
      <c r="C3137" s="1374"/>
      <c r="D3137" s="1374"/>
      <c r="E3137" s="1258" t="e">
        <f t="shared" si="409"/>
        <v>#DIV/0!</v>
      </c>
      <c r="F3137" s="723">
        <v>15</v>
      </c>
      <c r="G3137" s="723">
        <v>5</v>
      </c>
      <c r="H3137" s="1258">
        <f t="shared" si="410"/>
        <v>0.33333333333333331</v>
      </c>
      <c r="I3137" s="1259">
        <f t="shared" si="412"/>
        <v>15</v>
      </c>
      <c r="J3137" s="695">
        <f t="shared" si="412"/>
        <v>5</v>
      </c>
      <c r="K3137" s="650">
        <f t="shared" si="411"/>
        <v>0.33333333333333331</v>
      </c>
    </row>
    <row r="3138" spans="1:11" ht="24.95" customHeight="1">
      <c r="A3138" s="1376" t="s">
        <v>5315</v>
      </c>
      <c r="B3138" s="1357" t="s">
        <v>5316</v>
      </c>
      <c r="C3138" s="1374"/>
      <c r="D3138" s="1374"/>
      <c r="E3138" s="1258" t="e">
        <f t="shared" si="409"/>
        <v>#DIV/0!</v>
      </c>
      <c r="F3138" s="723">
        <v>150</v>
      </c>
      <c r="G3138" s="723">
        <v>60</v>
      </c>
      <c r="H3138" s="1258">
        <f t="shared" si="410"/>
        <v>0.4</v>
      </c>
      <c r="I3138" s="1259">
        <f t="shared" si="412"/>
        <v>150</v>
      </c>
      <c r="J3138" s="695">
        <f t="shared" si="412"/>
        <v>60</v>
      </c>
      <c r="K3138" s="650">
        <f t="shared" si="411"/>
        <v>0.4</v>
      </c>
    </row>
    <row r="3139" spans="1:11" ht="24.95" customHeight="1">
      <c r="A3139" s="1376" t="s">
        <v>5779</v>
      </c>
      <c r="B3139" s="1357" t="s">
        <v>5780</v>
      </c>
      <c r="C3139" s="1374"/>
      <c r="D3139" s="1374"/>
      <c r="E3139" s="1258" t="e">
        <f t="shared" si="409"/>
        <v>#DIV/0!</v>
      </c>
      <c r="F3139" s="723"/>
      <c r="G3139" s="723"/>
      <c r="H3139" s="1258" t="e">
        <f t="shared" si="410"/>
        <v>#DIV/0!</v>
      </c>
      <c r="I3139" s="1259">
        <f t="shared" ref="I3139:J3167" si="413">+C3139+F3139</f>
        <v>0</v>
      </c>
      <c r="J3139" s="695">
        <f t="shared" si="413"/>
        <v>0</v>
      </c>
      <c r="K3139" s="650" t="e">
        <f t="shared" si="411"/>
        <v>#DIV/0!</v>
      </c>
    </row>
    <row r="3140" spans="1:11" ht="24.95" customHeight="1">
      <c r="A3140" s="1376" t="s">
        <v>5781</v>
      </c>
      <c r="B3140" s="1357" t="s">
        <v>5782</v>
      </c>
      <c r="C3140" s="1374"/>
      <c r="D3140" s="1374"/>
      <c r="E3140" s="1258" t="e">
        <f t="shared" si="409"/>
        <v>#DIV/0!</v>
      </c>
      <c r="F3140" s="723">
        <v>2</v>
      </c>
      <c r="G3140" s="723"/>
      <c r="H3140" s="1258">
        <f t="shared" si="410"/>
        <v>0</v>
      </c>
      <c r="I3140" s="1259">
        <f t="shared" si="413"/>
        <v>2</v>
      </c>
      <c r="J3140" s="695">
        <f t="shared" si="413"/>
        <v>0</v>
      </c>
      <c r="K3140" s="650">
        <f t="shared" si="411"/>
        <v>0</v>
      </c>
    </row>
    <row r="3141" spans="1:11" ht="24.95" customHeight="1">
      <c r="A3141" s="1376" t="s">
        <v>5783</v>
      </c>
      <c r="B3141" s="1357" t="s">
        <v>1549</v>
      </c>
      <c r="C3141" s="1374"/>
      <c r="D3141" s="1374"/>
      <c r="E3141" s="1258" t="e">
        <f t="shared" si="409"/>
        <v>#DIV/0!</v>
      </c>
      <c r="F3141" s="723">
        <v>5</v>
      </c>
      <c r="G3141" s="723">
        <v>3</v>
      </c>
      <c r="H3141" s="1258">
        <f t="shared" si="410"/>
        <v>0.6</v>
      </c>
      <c r="I3141" s="1259">
        <f t="shared" si="413"/>
        <v>5</v>
      </c>
      <c r="J3141" s="695">
        <f t="shared" si="413"/>
        <v>3</v>
      </c>
      <c r="K3141" s="650">
        <f t="shared" si="411"/>
        <v>0.6</v>
      </c>
    </row>
    <row r="3142" spans="1:11" ht="24.95" customHeight="1">
      <c r="A3142" s="1376" t="s">
        <v>5784</v>
      </c>
      <c r="B3142" s="1357" t="s">
        <v>5785</v>
      </c>
      <c r="C3142" s="1374"/>
      <c r="D3142" s="1374"/>
      <c r="E3142" s="1258" t="e">
        <f t="shared" si="409"/>
        <v>#DIV/0!</v>
      </c>
      <c r="F3142" s="723">
        <v>1</v>
      </c>
      <c r="G3142" s="723"/>
      <c r="H3142" s="1258">
        <f t="shared" si="410"/>
        <v>0</v>
      </c>
      <c r="I3142" s="1259">
        <f t="shared" si="413"/>
        <v>1</v>
      </c>
      <c r="J3142" s="695">
        <f t="shared" si="413"/>
        <v>0</v>
      </c>
      <c r="K3142" s="650">
        <f t="shared" si="411"/>
        <v>0</v>
      </c>
    </row>
    <row r="3143" spans="1:11" ht="24.95" customHeight="1">
      <c r="A3143" s="1376" t="s">
        <v>5786</v>
      </c>
      <c r="B3143" s="1357" t="s">
        <v>5787</v>
      </c>
      <c r="C3143" s="1374"/>
      <c r="D3143" s="1374"/>
      <c r="E3143" s="1258" t="e">
        <f t="shared" si="409"/>
        <v>#DIV/0!</v>
      </c>
      <c r="F3143" s="723">
        <v>5</v>
      </c>
      <c r="G3143" s="723"/>
      <c r="H3143" s="1258">
        <f t="shared" si="410"/>
        <v>0</v>
      </c>
      <c r="I3143" s="1259">
        <f t="shared" si="413"/>
        <v>5</v>
      </c>
      <c r="J3143" s="695">
        <f t="shared" si="413"/>
        <v>0</v>
      </c>
      <c r="K3143" s="650">
        <f t="shared" si="411"/>
        <v>0</v>
      </c>
    </row>
    <row r="3144" spans="1:11" ht="24.95" customHeight="1">
      <c r="A3144" s="1376" t="s">
        <v>5788</v>
      </c>
      <c r="B3144" s="1357" t="s">
        <v>5789</v>
      </c>
      <c r="C3144" s="1374"/>
      <c r="D3144" s="1374"/>
      <c r="E3144" s="1258" t="e">
        <f t="shared" si="409"/>
        <v>#DIV/0!</v>
      </c>
      <c r="F3144" s="723">
        <v>2</v>
      </c>
      <c r="G3144" s="723"/>
      <c r="H3144" s="1258">
        <f t="shared" si="410"/>
        <v>0</v>
      </c>
      <c r="I3144" s="1259">
        <f t="shared" si="413"/>
        <v>2</v>
      </c>
      <c r="J3144" s="695">
        <f t="shared" si="413"/>
        <v>0</v>
      </c>
      <c r="K3144" s="650">
        <f t="shared" si="411"/>
        <v>0</v>
      </c>
    </row>
    <row r="3145" spans="1:11" ht="24.95" customHeight="1">
      <c r="A3145" s="1376" t="s">
        <v>5790</v>
      </c>
      <c r="B3145" s="1357" t="s">
        <v>5791</v>
      </c>
      <c r="C3145" s="1374"/>
      <c r="D3145" s="1374"/>
      <c r="E3145" s="1258" t="e">
        <f t="shared" si="409"/>
        <v>#DIV/0!</v>
      </c>
      <c r="F3145" s="723">
        <v>35</v>
      </c>
      <c r="G3145" s="723">
        <v>8</v>
      </c>
      <c r="H3145" s="1258">
        <f t="shared" si="410"/>
        <v>0.22857142857142856</v>
      </c>
      <c r="I3145" s="1259">
        <f t="shared" si="413"/>
        <v>35</v>
      </c>
      <c r="J3145" s="695">
        <f t="shared" si="413"/>
        <v>8</v>
      </c>
      <c r="K3145" s="650">
        <f t="shared" si="411"/>
        <v>0.22857142857142856</v>
      </c>
    </row>
    <row r="3146" spans="1:11" ht="24.95" customHeight="1">
      <c r="A3146" s="1376" t="s">
        <v>5792</v>
      </c>
      <c r="B3146" s="1357" t="s">
        <v>5793</v>
      </c>
      <c r="C3146" s="1374"/>
      <c r="D3146" s="1374"/>
      <c r="E3146" s="1258" t="e">
        <f t="shared" si="409"/>
        <v>#DIV/0!</v>
      </c>
      <c r="F3146" s="723">
        <v>5</v>
      </c>
      <c r="G3146" s="723"/>
      <c r="H3146" s="1258">
        <f t="shared" si="410"/>
        <v>0</v>
      </c>
      <c r="I3146" s="1259">
        <f t="shared" si="413"/>
        <v>5</v>
      </c>
      <c r="J3146" s="695">
        <f t="shared" si="413"/>
        <v>0</v>
      </c>
      <c r="K3146" s="650">
        <f t="shared" si="411"/>
        <v>0</v>
      </c>
    </row>
    <row r="3147" spans="1:11" ht="24.95" customHeight="1">
      <c r="A3147" s="456" t="s">
        <v>5317</v>
      </c>
      <c r="B3147" s="1225" t="s">
        <v>5193</v>
      </c>
      <c r="C3147" s="1374"/>
      <c r="D3147" s="1374"/>
      <c r="E3147" s="1258" t="e">
        <f t="shared" si="409"/>
        <v>#DIV/0!</v>
      </c>
      <c r="F3147" s="723">
        <v>370</v>
      </c>
      <c r="G3147" s="723">
        <v>205</v>
      </c>
      <c r="H3147" s="1258">
        <f t="shared" si="410"/>
        <v>0.55405405405405406</v>
      </c>
      <c r="I3147" s="1375">
        <f t="shared" si="413"/>
        <v>370</v>
      </c>
      <c r="J3147" s="695">
        <f t="shared" si="413"/>
        <v>205</v>
      </c>
      <c r="K3147" s="650">
        <f t="shared" si="411"/>
        <v>0.55405405405405406</v>
      </c>
    </row>
    <row r="3148" spans="1:11" ht="24.95" customHeight="1">
      <c r="A3148" s="1376" t="s">
        <v>5794</v>
      </c>
      <c r="B3148" s="1357" t="s">
        <v>5795</v>
      </c>
      <c r="C3148" s="1374"/>
      <c r="D3148" s="1374"/>
      <c r="E3148" s="1258" t="e">
        <f t="shared" si="409"/>
        <v>#DIV/0!</v>
      </c>
      <c r="F3148" s="723">
        <v>15</v>
      </c>
      <c r="G3148" s="723">
        <v>9</v>
      </c>
      <c r="H3148" s="1258">
        <f t="shared" si="410"/>
        <v>0.6</v>
      </c>
      <c r="I3148" s="1259">
        <f t="shared" si="413"/>
        <v>15</v>
      </c>
      <c r="J3148" s="695">
        <f t="shared" si="413"/>
        <v>9</v>
      </c>
      <c r="K3148" s="650">
        <f t="shared" si="411"/>
        <v>0.6</v>
      </c>
    </row>
    <row r="3149" spans="1:11" ht="24.95" customHeight="1">
      <c r="A3149" s="1376" t="s">
        <v>5796</v>
      </c>
      <c r="B3149" s="1357" t="s">
        <v>5797</v>
      </c>
      <c r="C3149" s="1374"/>
      <c r="D3149" s="1374"/>
      <c r="E3149" s="1258" t="e">
        <f t="shared" si="409"/>
        <v>#DIV/0!</v>
      </c>
      <c r="F3149" s="723">
        <v>5</v>
      </c>
      <c r="G3149" s="723"/>
      <c r="H3149" s="1258">
        <f t="shared" si="410"/>
        <v>0</v>
      </c>
      <c r="I3149" s="1259">
        <f t="shared" si="413"/>
        <v>5</v>
      </c>
      <c r="J3149" s="695">
        <f t="shared" si="413"/>
        <v>0</v>
      </c>
      <c r="K3149" s="650">
        <f t="shared" si="411"/>
        <v>0</v>
      </c>
    </row>
    <row r="3150" spans="1:11" ht="24.95" customHeight="1">
      <c r="A3150" s="1376" t="s">
        <v>5798</v>
      </c>
      <c r="B3150" s="1357" t="s">
        <v>5799</v>
      </c>
      <c r="C3150" s="1374"/>
      <c r="D3150" s="1374"/>
      <c r="E3150" s="1258" t="e">
        <f t="shared" si="409"/>
        <v>#DIV/0!</v>
      </c>
      <c r="F3150" s="723">
        <v>20</v>
      </c>
      <c r="G3150" s="723">
        <v>11</v>
      </c>
      <c r="H3150" s="1258">
        <f t="shared" si="410"/>
        <v>0.55000000000000004</v>
      </c>
      <c r="I3150" s="1259">
        <f t="shared" si="413"/>
        <v>20</v>
      </c>
      <c r="J3150" s="695">
        <f t="shared" si="413"/>
        <v>11</v>
      </c>
      <c r="K3150" s="650">
        <f t="shared" si="411"/>
        <v>0.55000000000000004</v>
      </c>
    </row>
    <row r="3151" spans="1:11" ht="24.95" customHeight="1">
      <c r="A3151" s="1376" t="s">
        <v>5800</v>
      </c>
      <c r="B3151" s="1357" t="s">
        <v>5801</v>
      </c>
      <c r="C3151" s="1374"/>
      <c r="D3151" s="1374"/>
      <c r="E3151" s="1258" t="e">
        <f t="shared" si="409"/>
        <v>#DIV/0!</v>
      </c>
      <c r="F3151" s="723">
        <v>5</v>
      </c>
      <c r="G3151" s="723">
        <v>1</v>
      </c>
      <c r="H3151" s="1258">
        <f t="shared" si="410"/>
        <v>0.2</v>
      </c>
      <c r="I3151" s="1259">
        <f t="shared" si="413"/>
        <v>5</v>
      </c>
      <c r="J3151" s="695">
        <f t="shared" si="413"/>
        <v>1</v>
      </c>
      <c r="K3151" s="650">
        <f t="shared" si="411"/>
        <v>0.2</v>
      </c>
    </row>
    <row r="3152" spans="1:11" ht="24.95" customHeight="1">
      <c r="A3152" s="1376" t="s">
        <v>5802</v>
      </c>
      <c r="B3152" s="1357" t="s">
        <v>5803</v>
      </c>
      <c r="C3152" s="1374"/>
      <c r="D3152" s="1374"/>
      <c r="E3152" s="1258" t="e">
        <f t="shared" si="409"/>
        <v>#DIV/0!</v>
      </c>
      <c r="F3152" s="723">
        <v>10</v>
      </c>
      <c r="G3152" s="723">
        <v>1</v>
      </c>
      <c r="H3152" s="1258">
        <f t="shared" si="410"/>
        <v>0.1</v>
      </c>
      <c r="I3152" s="1259">
        <f t="shared" si="413"/>
        <v>10</v>
      </c>
      <c r="J3152" s="695">
        <f t="shared" si="413"/>
        <v>1</v>
      </c>
      <c r="K3152" s="650">
        <f t="shared" si="411"/>
        <v>0.1</v>
      </c>
    </row>
    <row r="3153" spans="1:11" ht="24.95" customHeight="1">
      <c r="A3153" s="1376" t="s">
        <v>5328</v>
      </c>
      <c r="B3153" s="1357" t="s">
        <v>5329</v>
      </c>
      <c r="C3153" s="1374"/>
      <c r="D3153" s="1374"/>
      <c r="E3153" s="1258" t="e">
        <f t="shared" si="409"/>
        <v>#DIV/0!</v>
      </c>
      <c r="F3153" s="1380">
        <v>0</v>
      </c>
      <c r="G3153" s="1380"/>
      <c r="H3153" s="1258" t="e">
        <f t="shared" si="410"/>
        <v>#DIV/0!</v>
      </c>
      <c r="I3153" s="1259">
        <f t="shared" si="413"/>
        <v>0</v>
      </c>
      <c r="J3153" s="695">
        <f t="shared" si="413"/>
        <v>0</v>
      </c>
      <c r="K3153" s="650" t="e">
        <f t="shared" si="411"/>
        <v>#DIV/0!</v>
      </c>
    </row>
    <row r="3154" spans="1:11" ht="24.95" customHeight="1">
      <c r="A3154" s="1376" t="s">
        <v>4118</v>
      </c>
      <c r="B3154" s="1372" t="s">
        <v>4119</v>
      </c>
      <c r="C3154" s="1374">
        <v>20</v>
      </c>
      <c r="D3154" s="1374">
        <v>11</v>
      </c>
      <c r="E3154" s="1258">
        <f t="shared" si="409"/>
        <v>0.55000000000000004</v>
      </c>
      <c r="F3154" s="723">
        <v>2</v>
      </c>
      <c r="G3154" s="723">
        <v>1</v>
      </c>
      <c r="H3154" s="1258">
        <f t="shared" si="410"/>
        <v>0.5</v>
      </c>
      <c r="I3154" s="1259">
        <f t="shared" si="413"/>
        <v>22</v>
      </c>
      <c r="J3154" s="695">
        <f t="shared" si="413"/>
        <v>12</v>
      </c>
      <c r="K3154" s="650">
        <f t="shared" si="411"/>
        <v>0.54545454545454541</v>
      </c>
    </row>
    <row r="3155" spans="1:11" ht="24.95" customHeight="1">
      <c r="A3155" s="456" t="s">
        <v>5804</v>
      </c>
      <c r="B3155" s="1225" t="s">
        <v>5805</v>
      </c>
      <c r="C3155" s="1374"/>
      <c r="D3155" s="1374"/>
      <c r="E3155" s="1258" t="e">
        <f t="shared" si="409"/>
        <v>#DIV/0!</v>
      </c>
      <c r="F3155" s="723">
        <v>30</v>
      </c>
      <c r="G3155" s="723">
        <v>15</v>
      </c>
      <c r="H3155" s="1258">
        <f t="shared" si="410"/>
        <v>0.5</v>
      </c>
      <c r="I3155" s="1375">
        <f t="shared" si="413"/>
        <v>30</v>
      </c>
      <c r="J3155" s="695">
        <f t="shared" si="413"/>
        <v>15</v>
      </c>
      <c r="K3155" s="650">
        <f t="shared" si="411"/>
        <v>0.5</v>
      </c>
    </row>
    <row r="3156" spans="1:11" ht="24.95" customHeight="1">
      <c r="A3156" s="1376" t="s">
        <v>4733</v>
      </c>
      <c r="B3156" s="1357" t="s">
        <v>4734</v>
      </c>
      <c r="C3156" s="1374">
        <v>10</v>
      </c>
      <c r="D3156" s="1374"/>
      <c r="E3156" s="1258">
        <f t="shared" ref="E3156:E3219" si="414">+D3156/C3156</f>
        <v>0</v>
      </c>
      <c r="F3156" s="723"/>
      <c r="G3156" s="723"/>
      <c r="H3156" s="1258" t="e">
        <f t="shared" ref="H3156:H3219" si="415">+G3156/F3156</f>
        <v>#DIV/0!</v>
      </c>
      <c r="I3156" s="1259">
        <f t="shared" si="413"/>
        <v>10</v>
      </c>
      <c r="J3156" s="695">
        <f t="shared" si="413"/>
        <v>0</v>
      </c>
      <c r="K3156" s="650">
        <f t="shared" ref="K3156:K3219" si="416">+J3156/I3156</f>
        <v>0</v>
      </c>
    </row>
    <row r="3157" spans="1:11" ht="24.95" customHeight="1">
      <c r="A3157" s="1376" t="s">
        <v>4740</v>
      </c>
      <c r="B3157" s="1357" t="s">
        <v>4741</v>
      </c>
      <c r="C3157" s="1374">
        <v>10</v>
      </c>
      <c r="D3157" s="1374"/>
      <c r="E3157" s="1258">
        <f t="shared" si="414"/>
        <v>0</v>
      </c>
      <c r="F3157" s="723">
        <v>3</v>
      </c>
      <c r="G3157" s="723"/>
      <c r="H3157" s="1258">
        <f t="shared" si="415"/>
        <v>0</v>
      </c>
      <c r="I3157" s="1259">
        <f t="shared" si="413"/>
        <v>13</v>
      </c>
      <c r="J3157" s="695">
        <f t="shared" si="413"/>
        <v>0</v>
      </c>
      <c r="K3157" s="650">
        <f t="shared" si="416"/>
        <v>0</v>
      </c>
    </row>
    <row r="3158" spans="1:11" ht="24.95" customHeight="1">
      <c r="A3158" s="1376" t="s">
        <v>5806</v>
      </c>
      <c r="B3158" s="1378" t="s">
        <v>5807</v>
      </c>
      <c r="C3158" s="1374"/>
      <c r="D3158" s="1374"/>
      <c r="E3158" s="1258" t="e">
        <f t="shared" si="414"/>
        <v>#DIV/0!</v>
      </c>
      <c r="F3158" s="723">
        <v>5</v>
      </c>
      <c r="G3158" s="723"/>
      <c r="H3158" s="1258">
        <f t="shared" si="415"/>
        <v>0</v>
      </c>
      <c r="I3158" s="1259">
        <f t="shared" si="413"/>
        <v>5</v>
      </c>
      <c r="J3158" s="695">
        <f t="shared" si="413"/>
        <v>0</v>
      </c>
      <c r="K3158" s="650">
        <f t="shared" si="416"/>
        <v>0</v>
      </c>
    </row>
    <row r="3159" spans="1:11" ht="24.95" customHeight="1">
      <c r="A3159" s="1376" t="s">
        <v>4742</v>
      </c>
      <c r="B3159" s="1357" t="s">
        <v>5808</v>
      </c>
      <c r="C3159" s="1374"/>
      <c r="D3159" s="1374"/>
      <c r="E3159" s="1258" t="e">
        <f t="shared" si="414"/>
        <v>#DIV/0!</v>
      </c>
      <c r="F3159" s="723">
        <v>75</v>
      </c>
      <c r="G3159" s="723"/>
      <c r="H3159" s="1258">
        <f t="shared" si="415"/>
        <v>0</v>
      </c>
      <c r="I3159" s="1259">
        <f t="shared" si="413"/>
        <v>75</v>
      </c>
      <c r="J3159" s="695">
        <f t="shared" si="413"/>
        <v>0</v>
      </c>
      <c r="K3159" s="650">
        <f t="shared" si="416"/>
        <v>0</v>
      </c>
    </row>
    <row r="3160" spans="1:11" ht="24.95" customHeight="1">
      <c r="A3160" s="1376" t="s">
        <v>5809</v>
      </c>
      <c r="B3160" s="1357" t="s">
        <v>5810</v>
      </c>
      <c r="C3160" s="1374"/>
      <c r="D3160" s="1374"/>
      <c r="E3160" s="1258" t="e">
        <f t="shared" si="414"/>
        <v>#DIV/0!</v>
      </c>
      <c r="F3160" s="723">
        <v>1</v>
      </c>
      <c r="G3160" s="723"/>
      <c r="H3160" s="1258">
        <f t="shared" si="415"/>
        <v>0</v>
      </c>
      <c r="I3160" s="1259">
        <f t="shared" si="413"/>
        <v>1</v>
      </c>
      <c r="J3160" s="695">
        <f t="shared" si="413"/>
        <v>0</v>
      </c>
      <c r="K3160" s="650">
        <f t="shared" si="416"/>
        <v>0</v>
      </c>
    </row>
    <row r="3161" spans="1:11" ht="24.95" customHeight="1">
      <c r="A3161" s="1376" t="s">
        <v>5811</v>
      </c>
      <c r="B3161" s="1357" t="s">
        <v>5812</v>
      </c>
      <c r="C3161" s="1374"/>
      <c r="D3161" s="1374"/>
      <c r="E3161" s="1258" t="e">
        <f t="shared" si="414"/>
        <v>#DIV/0!</v>
      </c>
      <c r="F3161" s="723">
        <v>60</v>
      </c>
      <c r="G3161" s="723">
        <v>29</v>
      </c>
      <c r="H3161" s="1258">
        <f t="shared" si="415"/>
        <v>0.48333333333333334</v>
      </c>
      <c r="I3161" s="1259">
        <f t="shared" si="413"/>
        <v>60</v>
      </c>
      <c r="J3161" s="695">
        <f t="shared" si="413"/>
        <v>29</v>
      </c>
      <c r="K3161" s="650">
        <f t="shared" si="416"/>
        <v>0.48333333333333334</v>
      </c>
    </row>
    <row r="3162" spans="1:11" ht="24.95" customHeight="1">
      <c r="A3162" s="1376" t="s">
        <v>5813</v>
      </c>
      <c r="B3162" s="1357" t="s">
        <v>5814</v>
      </c>
      <c r="C3162" s="1374">
        <v>5</v>
      </c>
      <c r="D3162" s="1374"/>
      <c r="E3162" s="1258">
        <f t="shared" si="414"/>
        <v>0</v>
      </c>
      <c r="F3162" s="723">
        <v>5</v>
      </c>
      <c r="G3162" s="723"/>
      <c r="H3162" s="1258">
        <f t="shared" si="415"/>
        <v>0</v>
      </c>
      <c r="I3162" s="1259">
        <f t="shared" si="413"/>
        <v>10</v>
      </c>
      <c r="J3162" s="695">
        <f t="shared" si="413"/>
        <v>0</v>
      </c>
      <c r="K3162" s="650">
        <f t="shared" si="416"/>
        <v>0</v>
      </c>
    </row>
    <row r="3163" spans="1:11" ht="24.95" customHeight="1">
      <c r="A3163" s="1376" t="s">
        <v>5815</v>
      </c>
      <c r="B3163" s="1357" t="s">
        <v>5816</v>
      </c>
      <c r="C3163" s="1374"/>
      <c r="D3163" s="1374"/>
      <c r="E3163" s="1258" t="e">
        <f t="shared" si="414"/>
        <v>#DIV/0!</v>
      </c>
      <c r="F3163" s="723">
        <v>1</v>
      </c>
      <c r="G3163" s="723"/>
      <c r="H3163" s="1258">
        <f t="shared" si="415"/>
        <v>0</v>
      </c>
      <c r="I3163" s="1259">
        <f t="shared" si="413"/>
        <v>1</v>
      </c>
      <c r="J3163" s="695">
        <f t="shared" si="413"/>
        <v>0</v>
      </c>
      <c r="K3163" s="650">
        <f t="shared" si="416"/>
        <v>0</v>
      </c>
    </row>
    <row r="3164" spans="1:11" ht="24.95" customHeight="1">
      <c r="A3164" s="1376" t="s">
        <v>152</v>
      </c>
      <c r="B3164" s="1357" t="s">
        <v>5817</v>
      </c>
      <c r="C3164" s="1374">
        <v>1</v>
      </c>
      <c r="D3164" s="1374"/>
      <c r="E3164" s="1258">
        <f t="shared" si="414"/>
        <v>0</v>
      </c>
      <c r="F3164" s="723">
        <v>1</v>
      </c>
      <c r="G3164" s="723">
        <v>1</v>
      </c>
      <c r="H3164" s="1258">
        <f t="shared" si="415"/>
        <v>1</v>
      </c>
      <c r="I3164" s="1259">
        <f t="shared" si="413"/>
        <v>2</v>
      </c>
      <c r="J3164" s="695">
        <f t="shared" si="413"/>
        <v>1</v>
      </c>
      <c r="K3164" s="650">
        <f t="shared" si="416"/>
        <v>0.5</v>
      </c>
    </row>
    <row r="3165" spans="1:11" ht="24.95" customHeight="1">
      <c r="A3165" s="1376" t="s">
        <v>5818</v>
      </c>
      <c r="B3165" s="1357" t="s">
        <v>5819</v>
      </c>
      <c r="C3165" s="1374"/>
      <c r="D3165" s="1374"/>
      <c r="E3165" s="1258" t="e">
        <f t="shared" si="414"/>
        <v>#DIV/0!</v>
      </c>
      <c r="F3165" s="723">
        <v>5</v>
      </c>
      <c r="G3165" s="723">
        <v>1</v>
      </c>
      <c r="H3165" s="1258">
        <f t="shared" si="415"/>
        <v>0.2</v>
      </c>
      <c r="I3165" s="1259">
        <f t="shared" si="413"/>
        <v>5</v>
      </c>
      <c r="J3165" s="695">
        <f t="shared" si="413"/>
        <v>1</v>
      </c>
      <c r="K3165" s="650">
        <f t="shared" si="416"/>
        <v>0.2</v>
      </c>
    </row>
    <row r="3166" spans="1:11" ht="24.95" customHeight="1">
      <c r="A3166" s="1376" t="s">
        <v>5820</v>
      </c>
      <c r="B3166" s="1357" t="s">
        <v>5821</v>
      </c>
      <c r="C3166" s="1374"/>
      <c r="D3166" s="1374"/>
      <c r="E3166" s="1258" t="e">
        <f t="shared" si="414"/>
        <v>#DIV/0!</v>
      </c>
      <c r="F3166" s="723">
        <v>3</v>
      </c>
      <c r="G3166" s="723"/>
      <c r="H3166" s="1258">
        <f t="shared" si="415"/>
        <v>0</v>
      </c>
      <c r="I3166" s="1259">
        <f t="shared" si="413"/>
        <v>3</v>
      </c>
      <c r="J3166" s="695">
        <f t="shared" si="413"/>
        <v>0</v>
      </c>
      <c r="K3166" s="650">
        <f t="shared" si="416"/>
        <v>0</v>
      </c>
    </row>
    <row r="3167" spans="1:11" ht="24.95" customHeight="1">
      <c r="A3167" s="1376" t="s">
        <v>5822</v>
      </c>
      <c r="B3167" s="1357" t="s">
        <v>5823</v>
      </c>
      <c r="C3167" s="1374"/>
      <c r="D3167" s="1374"/>
      <c r="E3167" s="1258" t="e">
        <f t="shared" si="414"/>
        <v>#DIV/0!</v>
      </c>
      <c r="F3167" s="723">
        <v>3</v>
      </c>
      <c r="G3167" s="723">
        <v>1</v>
      </c>
      <c r="H3167" s="1258">
        <f t="shared" si="415"/>
        <v>0.33333333333333331</v>
      </c>
      <c r="I3167" s="1259">
        <f t="shared" si="413"/>
        <v>3</v>
      </c>
      <c r="J3167" s="695">
        <f t="shared" si="413"/>
        <v>1</v>
      </c>
      <c r="K3167" s="650">
        <f t="shared" si="416"/>
        <v>0.33333333333333331</v>
      </c>
    </row>
    <row r="3168" spans="1:11" ht="24.95" customHeight="1">
      <c r="A3168" s="1381" t="s">
        <v>5342</v>
      </c>
      <c r="B3168" s="1382" t="s">
        <v>5343</v>
      </c>
      <c r="C3168" s="768"/>
      <c r="D3168" s="768"/>
      <c r="E3168" s="1258" t="e">
        <f t="shared" si="414"/>
        <v>#DIV/0!</v>
      </c>
      <c r="F3168" s="1383">
        <v>11</v>
      </c>
      <c r="G3168" s="1383">
        <v>8</v>
      </c>
      <c r="H3168" s="1258">
        <f t="shared" si="415"/>
        <v>0.72727272727272729</v>
      </c>
      <c r="I3168" s="1384">
        <f t="shared" ref="I3168" si="417">+F3168</f>
        <v>11</v>
      </c>
      <c r="J3168" s="695">
        <f t="shared" ref="J3168:J3231" si="418">+D3168+G3168</f>
        <v>8</v>
      </c>
      <c r="K3168" s="650">
        <f t="shared" si="416"/>
        <v>0.72727272727272729</v>
      </c>
    </row>
    <row r="3169" spans="1:11" ht="24.95" customHeight="1">
      <c r="A3169" s="1376" t="s">
        <v>5824</v>
      </c>
      <c r="B3169" s="1357" t="s">
        <v>5825</v>
      </c>
      <c r="C3169" s="1374"/>
      <c r="D3169" s="1374"/>
      <c r="E3169" s="1258" t="e">
        <f t="shared" si="414"/>
        <v>#DIV/0!</v>
      </c>
      <c r="F3169" s="723">
        <v>3</v>
      </c>
      <c r="G3169" s="723">
        <v>2</v>
      </c>
      <c r="H3169" s="1258">
        <f t="shared" si="415"/>
        <v>0.66666666666666663</v>
      </c>
      <c r="I3169" s="1259">
        <f t="shared" ref="I3169:J3232" si="419">+C3169+F3169</f>
        <v>3</v>
      </c>
      <c r="J3169" s="695">
        <f t="shared" si="418"/>
        <v>2</v>
      </c>
      <c r="K3169" s="650">
        <f t="shared" si="416"/>
        <v>0.66666666666666663</v>
      </c>
    </row>
    <row r="3170" spans="1:11" ht="24.95" customHeight="1">
      <c r="A3170" s="1376" t="s">
        <v>5826</v>
      </c>
      <c r="B3170" s="1357" t="s">
        <v>5827</v>
      </c>
      <c r="C3170" s="1374"/>
      <c r="D3170" s="1374"/>
      <c r="E3170" s="1258" t="e">
        <f t="shared" si="414"/>
        <v>#DIV/0!</v>
      </c>
      <c r="F3170" s="723">
        <v>1</v>
      </c>
      <c r="G3170" s="723"/>
      <c r="H3170" s="1258">
        <f t="shared" si="415"/>
        <v>0</v>
      </c>
      <c r="I3170" s="1259">
        <f t="shared" si="419"/>
        <v>1</v>
      </c>
      <c r="J3170" s="695">
        <f t="shared" si="418"/>
        <v>0</v>
      </c>
      <c r="K3170" s="650">
        <f t="shared" si="416"/>
        <v>0</v>
      </c>
    </row>
    <row r="3171" spans="1:11" ht="24.95" customHeight="1">
      <c r="A3171" s="1376" t="s">
        <v>5828</v>
      </c>
      <c r="B3171" s="1357" t="s">
        <v>5829</v>
      </c>
      <c r="C3171" s="1374"/>
      <c r="D3171" s="1374"/>
      <c r="E3171" s="1258" t="e">
        <f t="shared" si="414"/>
        <v>#DIV/0!</v>
      </c>
      <c r="F3171" s="723">
        <v>5</v>
      </c>
      <c r="G3171" s="723"/>
      <c r="H3171" s="1258">
        <f t="shared" si="415"/>
        <v>0</v>
      </c>
      <c r="I3171" s="1259">
        <f t="shared" si="419"/>
        <v>5</v>
      </c>
      <c r="J3171" s="695">
        <f t="shared" si="418"/>
        <v>0</v>
      </c>
      <c r="K3171" s="650">
        <f t="shared" si="416"/>
        <v>0</v>
      </c>
    </row>
    <row r="3172" spans="1:11" ht="24.95" customHeight="1">
      <c r="A3172" s="1376" t="s">
        <v>5830</v>
      </c>
      <c r="B3172" s="1357" t="s">
        <v>5831</v>
      </c>
      <c r="C3172" s="1374"/>
      <c r="D3172" s="1374"/>
      <c r="E3172" s="1258" t="e">
        <f t="shared" si="414"/>
        <v>#DIV/0!</v>
      </c>
      <c r="F3172" s="723">
        <v>5</v>
      </c>
      <c r="G3172" s="723">
        <v>1</v>
      </c>
      <c r="H3172" s="1258">
        <f t="shared" si="415"/>
        <v>0.2</v>
      </c>
      <c r="I3172" s="1259">
        <f t="shared" si="419"/>
        <v>5</v>
      </c>
      <c r="J3172" s="695">
        <f t="shared" si="418"/>
        <v>1</v>
      </c>
      <c r="K3172" s="650">
        <f t="shared" si="416"/>
        <v>0.2</v>
      </c>
    </row>
    <row r="3173" spans="1:11" ht="24.95" customHeight="1">
      <c r="A3173" s="1376" t="s">
        <v>5832</v>
      </c>
      <c r="B3173" s="1378" t="s">
        <v>5833</v>
      </c>
      <c r="C3173" s="1374"/>
      <c r="D3173" s="1374"/>
      <c r="E3173" s="1258" t="e">
        <f t="shared" si="414"/>
        <v>#DIV/0!</v>
      </c>
      <c r="F3173" s="732">
        <v>5</v>
      </c>
      <c r="G3173" s="732">
        <v>1</v>
      </c>
      <c r="H3173" s="1258">
        <f t="shared" si="415"/>
        <v>0.2</v>
      </c>
      <c r="I3173" s="1259">
        <f t="shared" si="419"/>
        <v>5</v>
      </c>
      <c r="J3173" s="695">
        <f t="shared" si="418"/>
        <v>1</v>
      </c>
      <c r="K3173" s="650">
        <f t="shared" si="416"/>
        <v>0.2</v>
      </c>
    </row>
    <row r="3174" spans="1:11" ht="24.95" customHeight="1">
      <c r="A3174" s="1376" t="s">
        <v>5834</v>
      </c>
      <c r="B3174" s="1378" t="s">
        <v>5835</v>
      </c>
      <c r="C3174" s="1374"/>
      <c r="D3174" s="1374"/>
      <c r="E3174" s="1258" t="e">
        <f t="shared" si="414"/>
        <v>#DIV/0!</v>
      </c>
      <c r="F3174" s="732">
        <v>2</v>
      </c>
      <c r="G3174" s="732"/>
      <c r="H3174" s="1258">
        <f t="shared" si="415"/>
        <v>0</v>
      </c>
      <c r="I3174" s="1259">
        <f t="shared" si="419"/>
        <v>2</v>
      </c>
      <c r="J3174" s="695">
        <f t="shared" si="418"/>
        <v>0</v>
      </c>
      <c r="K3174" s="650">
        <f t="shared" si="416"/>
        <v>0</v>
      </c>
    </row>
    <row r="3175" spans="1:11" ht="24.95" customHeight="1">
      <c r="A3175" s="1376" t="s">
        <v>5836</v>
      </c>
      <c r="B3175" s="1378" t="s">
        <v>5837</v>
      </c>
      <c r="C3175" s="1374"/>
      <c r="D3175" s="1374"/>
      <c r="E3175" s="1258" t="e">
        <f t="shared" si="414"/>
        <v>#DIV/0!</v>
      </c>
      <c r="F3175" s="732">
        <v>2</v>
      </c>
      <c r="G3175" s="732"/>
      <c r="H3175" s="1258">
        <f t="shared" si="415"/>
        <v>0</v>
      </c>
      <c r="I3175" s="1259">
        <f t="shared" si="419"/>
        <v>2</v>
      </c>
      <c r="J3175" s="695">
        <f t="shared" si="418"/>
        <v>0</v>
      </c>
      <c r="K3175" s="650">
        <f t="shared" si="416"/>
        <v>0</v>
      </c>
    </row>
    <row r="3176" spans="1:11" ht="24.95" customHeight="1">
      <c r="A3176" s="1376" t="s">
        <v>5838</v>
      </c>
      <c r="B3176" s="1357" t="s">
        <v>5839</v>
      </c>
      <c r="C3176" s="1374"/>
      <c r="D3176" s="1374"/>
      <c r="E3176" s="1258" t="e">
        <f t="shared" si="414"/>
        <v>#DIV/0!</v>
      </c>
      <c r="F3176" s="732">
        <v>5</v>
      </c>
      <c r="G3176" s="732">
        <v>2</v>
      </c>
      <c r="H3176" s="1258">
        <f t="shared" si="415"/>
        <v>0.4</v>
      </c>
      <c r="I3176" s="1259">
        <f t="shared" si="419"/>
        <v>5</v>
      </c>
      <c r="J3176" s="695">
        <f t="shared" si="418"/>
        <v>2</v>
      </c>
      <c r="K3176" s="650">
        <f t="shared" si="416"/>
        <v>0.4</v>
      </c>
    </row>
    <row r="3177" spans="1:11" ht="24.95" customHeight="1">
      <c r="A3177" s="1376" t="s">
        <v>5840</v>
      </c>
      <c r="B3177" s="1378" t="s">
        <v>5841</v>
      </c>
      <c r="C3177" s="1374"/>
      <c r="D3177" s="1374"/>
      <c r="E3177" s="1258" t="e">
        <f t="shared" si="414"/>
        <v>#DIV/0!</v>
      </c>
      <c r="F3177" s="732">
        <v>15</v>
      </c>
      <c r="G3177" s="732">
        <v>4</v>
      </c>
      <c r="H3177" s="1258">
        <f t="shared" si="415"/>
        <v>0.26666666666666666</v>
      </c>
      <c r="I3177" s="1259">
        <f t="shared" si="419"/>
        <v>15</v>
      </c>
      <c r="J3177" s="695">
        <f t="shared" si="418"/>
        <v>4</v>
      </c>
      <c r="K3177" s="650">
        <f t="shared" si="416"/>
        <v>0.26666666666666666</v>
      </c>
    </row>
    <row r="3178" spans="1:11" ht="24.95" customHeight="1">
      <c r="A3178" s="1376" t="s">
        <v>5842</v>
      </c>
      <c r="B3178" s="1357" t="s">
        <v>5843</v>
      </c>
      <c r="C3178" s="1374"/>
      <c r="D3178" s="1374"/>
      <c r="E3178" s="1258" t="e">
        <f t="shared" si="414"/>
        <v>#DIV/0!</v>
      </c>
      <c r="F3178" s="732">
        <v>5</v>
      </c>
      <c r="G3178" s="732"/>
      <c r="H3178" s="1258">
        <f t="shared" si="415"/>
        <v>0</v>
      </c>
      <c r="I3178" s="1259">
        <f t="shared" si="419"/>
        <v>5</v>
      </c>
      <c r="J3178" s="695">
        <f t="shared" si="418"/>
        <v>0</v>
      </c>
      <c r="K3178" s="650">
        <f t="shared" si="416"/>
        <v>0</v>
      </c>
    </row>
    <row r="3179" spans="1:11" ht="24.95" customHeight="1">
      <c r="A3179" s="1376" t="s">
        <v>5844</v>
      </c>
      <c r="B3179" s="1357" t="s">
        <v>5845</v>
      </c>
      <c r="C3179" s="1374"/>
      <c r="D3179" s="1374"/>
      <c r="E3179" s="1258" t="e">
        <f t="shared" si="414"/>
        <v>#DIV/0!</v>
      </c>
      <c r="F3179" s="732">
        <v>1</v>
      </c>
      <c r="G3179" s="732"/>
      <c r="H3179" s="1258">
        <f t="shared" si="415"/>
        <v>0</v>
      </c>
      <c r="I3179" s="1259">
        <f t="shared" si="419"/>
        <v>1</v>
      </c>
      <c r="J3179" s="695">
        <f t="shared" si="418"/>
        <v>0</v>
      </c>
      <c r="K3179" s="650">
        <f t="shared" si="416"/>
        <v>0</v>
      </c>
    </row>
    <row r="3180" spans="1:11" ht="24.95" customHeight="1">
      <c r="A3180" s="1376" t="s">
        <v>5846</v>
      </c>
      <c r="B3180" s="1357" t="s">
        <v>5847</v>
      </c>
      <c r="C3180" s="1374"/>
      <c r="D3180" s="1374"/>
      <c r="E3180" s="1258" t="e">
        <f t="shared" si="414"/>
        <v>#DIV/0!</v>
      </c>
      <c r="F3180" s="732">
        <v>15</v>
      </c>
      <c r="G3180" s="732">
        <v>5</v>
      </c>
      <c r="H3180" s="1258">
        <f t="shared" si="415"/>
        <v>0.33333333333333331</v>
      </c>
      <c r="I3180" s="1259">
        <f t="shared" si="419"/>
        <v>15</v>
      </c>
      <c r="J3180" s="695">
        <f t="shared" si="418"/>
        <v>5</v>
      </c>
      <c r="K3180" s="650">
        <f t="shared" si="416"/>
        <v>0.33333333333333331</v>
      </c>
    </row>
    <row r="3181" spans="1:11" ht="24.95" customHeight="1">
      <c r="A3181" s="1376" t="s">
        <v>5848</v>
      </c>
      <c r="B3181" s="1357" t="s">
        <v>5849</v>
      </c>
      <c r="C3181" s="1374"/>
      <c r="D3181" s="1374"/>
      <c r="E3181" s="1258" t="e">
        <f t="shared" si="414"/>
        <v>#DIV/0!</v>
      </c>
      <c r="F3181" s="732">
        <v>5</v>
      </c>
      <c r="G3181" s="732"/>
      <c r="H3181" s="1258">
        <f t="shared" si="415"/>
        <v>0</v>
      </c>
      <c r="I3181" s="1259">
        <f t="shared" si="419"/>
        <v>5</v>
      </c>
      <c r="J3181" s="695">
        <f t="shared" si="418"/>
        <v>0</v>
      </c>
      <c r="K3181" s="650">
        <f t="shared" si="416"/>
        <v>0</v>
      </c>
    </row>
    <row r="3182" spans="1:11" ht="24.95" customHeight="1">
      <c r="A3182" s="1376" t="s">
        <v>5850</v>
      </c>
      <c r="B3182" s="1357" t="s">
        <v>5851</v>
      </c>
      <c r="C3182" s="1374"/>
      <c r="D3182" s="1374"/>
      <c r="E3182" s="1258" t="e">
        <f t="shared" si="414"/>
        <v>#DIV/0!</v>
      </c>
      <c r="F3182" s="732">
        <v>5</v>
      </c>
      <c r="G3182" s="732">
        <v>1</v>
      </c>
      <c r="H3182" s="1258">
        <f t="shared" si="415"/>
        <v>0.2</v>
      </c>
      <c r="I3182" s="1259">
        <f t="shared" si="419"/>
        <v>5</v>
      </c>
      <c r="J3182" s="695">
        <f t="shared" si="418"/>
        <v>1</v>
      </c>
      <c r="K3182" s="650">
        <f t="shared" si="416"/>
        <v>0.2</v>
      </c>
    </row>
    <row r="3183" spans="1:11" ht="24.95" customHeight="1">
      <c r="A3183" s="1325" t="s">
        <v>5852</v>
      </c>
      <c r="B3183" s="1378" t="s">
        <v>5853</v>
      </c>
      <c r="C3183" s="1374"/>
      <c r="D3183" s="1374"/>
      <c r="E3183" s="1258" t="e">
        <f t="shared" si="414"/>
        <v>#DIV/0!</v>
      </c>
      <c r="F3183" s="732"/>
      <c r="G3183" s="732"/>
      <c r="H3183" s="1258" t="e">
        <f t="shared" si="415"/>
        <v>#DIV/0!</v>
      </c>
      <c r="I3183" s="1259">
        <f t="shared" si="419"/>
        <v>0</v>
      </c>
      <c r="J3183" s="695">
        <f t="shared" si="418"/>
        <v>0</v>
      </c>
      <c r="K3183" s="650" t="e">
        <f t="shared" si="416"/>
        <v>#DIV/0!</v>
      </c>
    </row>
    <row r="3184" spans="1:11" ht="24.95" customHeight="1">
      <c r="A3184" s="1376" t="s">
        <v>5854</v>
      </c>
      <c r="B3184" s="1357" t="s">
        <v>5855</v>
      </c>
      <c r="C3184" s="1374"/>
      <c r="D3184" s="1374"/>
      <c r="E3184" s="1258" t="e">
        <f t="shared" si="414"/>
        <v>#DIV/0!</v>
      </c>
      <c r="F3184" s="732">
        <v>3</v>
      </c>
      <c r="G3184" s="732"/>
      <c r="H3184" s="1258">
        <f t="shared" si="415"/>
        <v>0</v>
      </c>
      <c r="I3184" s="1259">
        <f t="shared" si="419"/>
        <v>3</v>
      </c>
      <c r="J3184" s="695">
        <f t="shared" si="418"/>
        <v>0</v>
      </c>
      <c r="K3184" s="650">
        <f t="shared" si="416"/>
        <v>0</v>
      </c>
    </row>
    <row r="3185" spans="1:11" ht="24.95" customHeight="1">
      <c r="A3185" s="1376" t="s">
        <v>5856</v>
      </c>
      <c r="B3185" s="1357" t="s">
        <v>5857</v>
      </c>
      <c r="C3185" s="1374"/>
      <c r="D3185" s="1374"/>
      <c r="E3185" s="1258" t="e">
        <f t="shared" si="414"/>
        <v>#DIV/0!</v>
      </c>
      <c r="F3185" s="732"/>
      <c r="G3185" s="732"/>
      <c r="H3185" s="1258" t="e">
        <f t="shared" si="415"/>
        <v>#DIV/0!</v>
      </c>
      <c r="I3185" s="1259">
        <f t="shared" si="419"/>
        <v>0</v>
      </c>
      <c r="J3185" s="695">
        <f t="shared" si="418"/>
        <v>0</v>
      </c>
      <c r="K3185" s="650" t="e">
        <f t="shared" si="416"/>
        <v>#DIV/0!</v>
      </c>
    </row>
    <row r="3186" spans="1:11" ht="24.95" customHeight="1">
      <c r="A3186" s="1376" t="s">
        <v>5858</v>
      </c>
      <c r="B3186" s="1357" t="s">
        <v>5859</v>
      </c>
      <c r="C3186" s="1374">
        <v>3</v>
      </c>
      <c r="D3186" s="1374"/>
      <c r="E3186" s="1258">
        <f t="shared" si="414"/>
        <v>0</v>
      </c>
      <c r="F3186" s="732">
        <v>3</v>
      </c>
      <c r="G3186" s="732"/>
      <c r="H3186" s="1258">
        <f t="shared" si="415"/>
        <v>0</v>
      </c>
      <c r="I3186" s="1259">
        <f t="shared" si="419"/>
        <v>6</v>
      </c>
      <c r="J3186" s="695">
        <f t="shared" si="418"/>
        <v>0</v>
      </c>
      <c r="K3186" s="650">
        <f t="shared" si="416"/>
        <v>0</v>
      </c>
    </row>
    <row r="3187" spans="1:11" ht="24.95" customHeight="1">
      <c r="A3187" s="1376" t="s">
        <v>5860</v>
      </c>
      <c r="B3187" s="1357" t="s">
        <v>5861</v>
      </c>
      <c r="C3187" s="1374"/>
      <c r="D3187" s="1374"/>
      <c r="E3187" s="1258" t="e">
        <f t="shared" si="414"/>
        <v>#DIV/0!</v>
      </c>
      <c r="F3187" s="732">
        <v>20</v>
      </c>
      <c r="G3187" s="732">
        <v>12</v>
      </c>
      <c r="H3187" s="1258">
        <f t="shared" si="415"/>
        <v>0.6</v>
      </c>
      <c r="I3187" s="1259">
        <f t="shared" si="419"/>
        <v>20</v>
      </c>
      <c r="J3187" s="695">
        <f t="shared" si="418"/>
        <v>12</v>
      </c>
      <c r="K3187" s="650">
        <f t="shared" si="416"/>
        <v>0.6</v>
      </c>
    </row>
    <row r="3188" spans="1:11" ht="24.95" customHeight="1">
      <c r="A3188" s="1376" t="s">
        <v>5862</v>
      </c>
      <c r="B3188" s="1357" t="s">
        <v>5863</v>
      </c>
      <c r="C3188" s="1374"/>
      <c r="D3188" s="1374"/>
      <c r="E3188" s="1258" t="e">
        <f t="shared" si="414"/>
        <v>#DIV/0!</v>
      </c>
      <c r="F3188" s="732">
        <v>5</v>
      </c>
      <c r="G3188" s="732"/>
      <c r="H3188" s="1258">
        <f t="shared" si="415"/>
        <v>0</v>
      </c>
      <c r="I3188" s="1259">
        <f t="shared" si="419"/>
        <v>5</v>
      </c>
      <c r="J3188" s="695">
        <f t="shared" si="418"/>
        <v>0</v>
      </c>
      <c r="K3188" s="650">
        <f t="shared" si="416"/>
        <v>0</v>
      </c>
    </row>
    <row r="3189" spans="1:11" ht="24.95" customHeight="1">
      <c r="A3189" s="1376" t="s">
        <v>5864</v>
      </c>
      <c r="B3189" s="1357" t="s">
        <v>5865</v>
      </c>
      <c r="C3189" s="1374">
        <v>2</v>
      </c>
      <c r="D3189" s="1374"/>
      <c r="E3189" s="1258">
        <f t="shared" si="414"/>
        <v>0</v>
      </c>
      <c r="F3189" s="732">
        <v>3</v>
      </c>
      <c r="G3189" s="732">
        <v>1</v>
      </c>
      <c r="H3189" s="1258">
        <f t="shared" si="415"/>
        <v>0.33333333333333331</v>
      </c>
      <c r="I3189" s="1259">
        <f t="shared" si="419"/>
        <v>5</v>
      </c>
      <c r="J3189" s="695">
        <f t="shared" si="418"/>
        <v>1</v>
      </c>
      <c r="K3189" s="650">
        <f t="shared" si="416"/>
        <v>0.2</v>
      </c>
    </row>
    <row r="3190" spans="1:11" ht="24.95" customHeight="1">
      <c r="A3190" s="1376" t="s">
        <v>5866</v>
      </c>
      <c r="B3190" s="1357" t="s">
        <v>5867</v>
      </c>
      <c r="C3190" s="1374">
        <v>2</v>
      </c>
      <c r="D3190" s="1374"/>
      <c r="E3190" s="1258">
        <f t="shared" si="414"/>
        <v>0</v>
      </c>
      <c r="F3190" s="732">
        <v>4</v>
      </c>
      <c r="G3190" s="732">
        <v>1</v>
      </c>
      <c r="H3190" s="1258">
        <f t="shared" si="415"/>
        <v>0.25</v>
      </c>
      <c r="I3190" s="1259">
        <f t="shared" si="419"/>
        <v>6</v>
      </c>
      <c r="J3190" s="695">
        <f t="shared" si="418"/>
        <v>1</v>
      </c>
      <c r="K3190" s="650">
        <f t="shared" si="416"/>
        <v>0.16666666666666666</v>
      </c>
    </row>
    <row r="3191" spans="1:11" ht="24.95" customHeight="1">
      <c r="A3191" s="1376" t="s">
        <v>5868</v>
      </c>
      <c r="B3191" s="1357" t="s">
        <v>5869</v>
      </c>
      <c r="C3191" s="1374"/>
      <c r="D3191" s="1374"/>
      <c r="E3191" s="1258" t="e">
        <f t="shared" si="414"/>
        <v>#DIV/0!</v>
      </c>
      <c r="F3191" s="732">
        <v>5</v>
      </c>
      <c r="G3191" s="732">
        <v>5</v>
      </c>
      <c r="H3191" s="1258">
        <f t="shared" si="415"/>
        <v>1</v>
      </c>
      <c r="I3191" s="1259">
        <f t="shared" si="419"/>
        <v>5</v>
      </c>
      <c r="J3191" s="695">
        <f t="shared" si="418"/>
        <v>5</v>
      </c>
      <c r="K3191" s="650">
        <f t="shared" si="416"/>
        <v>1</v>
      </c>
    </row>
    <row r="3192" spans="1:11" ht="24.95" customHeight="1">
      <c r="A3192" s="1376" t="s">
        <v>5870</v>
      </c>
      <c r="B3192" s="1357" t="s">
        <v>5871</v>
      </c>
      <c r="C3192" s="1374"/>
      <c r="D3192" s="1374"/>
      <c r="E3192" s="1258" t="e">
        <f t="shared" si="414"/>
        <v>#DIV/0!</v>
      </c>
      <c r="F3192" s="732">
        <v>5</v>
      </c>
      <c r="G3192" s="732"/>
      <c r="H3192" s="1258">
        <f t="shared" si="415"/>
        <v>0</v>
      </c>
      <c r="I3192" s="1259">
        <f t="shared" si="419"/>
        <v>5</v>
      </c>
      <c r="J3192" s="695">
        <f t="shared" si="418"/>
        <v>0</v>
      </c>
      <c r="K3192" s="650">
        <f t="shared" si="416"/>
        <v>0</v>
      </c>
    </row>
    <row r="3193" spans="1:11" ht="24.95" customHeight="1">
      <c r="A3193" s="1376" t="s">
        <v>5872</v>
      </c>
      <c r="B3193" s="1357" t="s">
        <v>5873</v>
      </c>
      <c r="C3193" s="1374"/>
      <c r="D3193" s="1374"/>
      <c r="E3193" s="1258" t="e">
        <f t="shared" si="414"/>
        <v>#DIV/0!</v>
      </c>
      <c r="F3193" s="732">
        <v>2</v>
      </c>
      <c r="G3193" s="732">
        <v>1</v>
      </c>
      <c r="H3193" s="1258">
        <f t="shared" si="415"/>
        <v>0.5</v>
      </c>
      <c r="I3193" s="1259">
        <f t="shared" si="419"/>
        <v>2</v>
      </c>
      <c r="J3193" s="695">
        <f t="shared" si="418"/>
        <v>1</v>
      </c>
      <c r="K3193" s="650">
        <f t="shared" si="416"/>
        <v>0.5</v>
      </c>
    </row>
    <row r="3194" spans="1:11" ht="24.95" customHeight="1">
      <c r="A3194" s="1376" t="s">
        <v>5874</v>
      </c>
      <c r="B3194" s="1357" t="s">
        <v>5875</v>
      </c>
      <c r="C3194" s="1374"/>
      <c r="D3194" s="1374"/>
      <c r="E3194" s="1258" t="e">
        <f t="shared" si="414"/>
        <v>#DIV/0!</v>
      </c>
      <c r="F3194" s="723">
        <v>3</v>
      </c>
      <c r="G3194" s="723">
        <v>1</v>
      </c>
      <c r="H3194" s="1258">
        <f t="shared" si="415"/>
        <v>0.33333333333333331</v>
      </c>
      <c r="I3194" s="1259">
        <f t="shared" si="419"/>
        <v>3</v>
      </c>
      <c r="J3194" s="695">
        <f t="shared" si="418"/>
        <v>1</v>
      </c>
      <c r="K3194" s="650">
        <f t="shared" si="416"/>
        <v>0.33333333333333331</v>
      </c>
    </row>
    <row r="3195" spans="1:11" ht="24.95" customHeight="1">
      <c r="A3195" s="1376" t="s">
        <v>5876</v>
      </c>
      <c r="B3195" s="1357" t="s">
        <v>5877</v>
      </c>
      <c r="C3195" s="1374"/>
      <c r="D3195" s="1374"/>
      <c r="E3195" s="1258" t="e">
        <f t="shared" si="414"/>
        <v>#DIV/0!</v>
      </c>
      <c r="F3195" s="723">
        <v>3</v>
      </c>
      <c r="G3195" s="723"/>
      <c r="H3195" s="1258">
        <f t="shared" si="415"/>
        <v>0</v>
      </c>
      <c r="I3195" s="1259">
        <f t="shared" si="419"/>
        <v>3</v>
      </c>
      <c r="J3195" s="695">
        <f t="shared" si="418"/>
        <v>0</v>
      </c>
      <c r="K3195" s="650">
        <f t="shared" si="416"/>
        <v>0</v>
      </c>
    </row>
    <row r="3196" spans="1:11" ht="24.95" customHeight="1">
      <c r="A3196" s="1376" t="s">
        <v>5878</v>
      </c>
      <c r="B3196" s="1357" t="s">
        <v>5879</v>
      </c>
      <c r="C3196" s="1374"/>
      <c r="D3196" s="1374"/>
      <c r="E3196" s="1258" t="e">
        <f t="shared" si="414"/>
        <v>#DIV/0!</v>
      </c>
      <c r="F3196" s="723">
        <v>2</v>
      </c>
      <c r="G3196" s="723"/>
      <c r="H3196" s="1258">
        <f t="shared" si="415"/>
        <v>0</v>
      </c>
      <c r="I3196" s="1259">
        <f t="shared" si="419"/>
        <v>2</v>
      </c>
      <c r="J3196" s="695">
        <f t="shared" si="418"/>
        <v>0</v>
      </c>
      <c r="K3196" s="650">
        <f t="shared" si="416"/>
        <v>0</v>
      </c>
    </row>
    <row r="3197" spans="1:11" ht="24.95" customHeight="1">
      <c r="A3197" s="1376" t="s">
        <v>5880</v>
      </c>
      <c r="B3197" s="1357" t="s">
        <v>5881</v>
      </c>
      <c r="C3197" s="1374"/>
      <c r="D3197" s="1374"/>
      <c r="E3197" s="1258" t="e">
        <f t="shared" si="414"/>
        <v>#DIV/0!</v>
      </c>
      <c r="F3197" s="723"/>
      <c r="G3197" s="723"/>
      <c r="H3197" s="1258" t="e">
        <f t="shared" si="415"/>
        <v>#DIV/0!</v>
      </c>
      <c r="I3197" s="1259">
        <f t="shared" si="419"/>
        <v>0</v>
      </c>
      <c r="J3197" s="695">
        <f t="shared" si="418"/>
        <v>0</v>
      </c>
      <c r="K3197" s="650" t="e">
        <f t="shared" si="416"/>
        <v>#DIV/0!</v>
      </c>
    </row>
    <row r="3198" spans="1:11" ht="24.95" customHeight="1">
      <c r="A3198" s="1376" t="s">
        <v>2733</v>
      </c>
      <c r="B3198" s="1357" t="s">
        <v>2734</v>
      </c>
      <c r="C3198" s="1374"/>
      <c r="D3198" s="1374"/>
      <c r="E3198" s="1258" t="e">
        <f t="shared" si="414"/>
        <v>#DIV/0!</v>
      </c>
      <c r="F3198" s="723"/>
      <c r="G3198" s="723"/>
      <c r="H3198" s="1258" t="e">
        <f t="shared" si="415"/>
        <v>#DIV/0!</v>
      </c>
      <c r="I3198" s="1259">
        <f t="shared" si="419"/>
        <v>0</v>
      </c>
      <c r="J3198" s="695">
        <f t="shared" si="418"/>
        <v>0</v>
      </c>
      <c r="K3198" s="650" t="e">
        <f t="shared" si="416"/>
        <v>#DIV/0!</v>
      </c>
    </row>
    <row r="3199" spans="1:11" ht="24.95" customHeight="1">
      <c r="A3199" s="1376" t="s">
        <v>2739</v>
      </c>
      <c r="B3199" s="1357" t="s">
        <v>2740</v>
      </c>
      <c r="C3199" s="1374"/>
      <c r="D3199" s="1374"/>
      <c r="E3199" s="1258" t="e">
        <f t="shared" si="414"/>
        <v>#DIV/0!</v>
      </c>
      <c r="F3199" s="723"/>
      <c r="G3199" s="723"/>
      <c r="H3199" s="1258" t="e">
        <f t="shared" si="415"/>
        <v>#DIV/0!</v>
      </c>
      <c r="I3199" s="1259">
        <f t="shared" si="419"/>
        <v>0</v>
      </c>
      <c r="J3199" s="695">
        <f t="shared" si="418"/>
        <v>0</v>
      </c>
      <c r="K3199" s="650" t="e">
        <f t="shared" si="416"/>
        <v>#DIV/0!</v>
      </c>
    </row>
    <row r="3200" spans="1:11" ht="24.95" customHeight="1">
      <c r="A3200" s="1376" t="s">
        <v>5882</v>
      </c>
      <c r="B3200" s="1357" t="s">
        <v>5883</v>
      </c>
      <c r="C3200" s="1374"/>
      <c r="D3200" s="1374"/>
      <c r="E3200" s="1258" t="e">
        <f t="shared" si="414"/>
        <v>#DIV/0!</v>
      </c>
      <c r="F3200" s="723"/>
      <c r="G3200" s="723"/>
      <c r="H3200" s="1258" t="e">
        <f t="shared" si="415"/>
        <v>#DIV/0!</v>
      </c>
      <c r="I3200" s="1259">
        <f t="shared" si="419"/>
        <v>0</v>
      </c>
      <c r="J3200" s="695">
        <f t="shared" si="418"/>
        <v>0</v>
      </c>
      <c r="K3200" s="650" t="e">
        <f t="shared" si="416"/>
        <v>#DIV/0!</v>
      </c>
    </row>
    <row r="3201" spans="1:11" ht="24.95" customHeight="1">
      <c r="A3201" s="1376" t="s">
        <v>5884</v>
      </c>
      <c r="B3201" s="1357" t="s">
        <v>5885</v>
      </c>
      <c r="C3201" s="1374"/>
      <c r="D3201" s="1374"/>
      <c r="E3201" s="1258" t="e">
        <f t="shared" si="414"/>
        <v>#DIV/0!</v>
      </c>
      <c r="F3201" s="723"/>
      <c r="G3201" s="723"/>
      <c r="H3201" s="1258" t="e">
        <f t="shared" si="415"/>
        <v>#DIV/0!</v>
      </c>
      <c r="I3201" s="1259">
        <f t="shared" si="419"/>
        <v>0</v>
      </c>
      <c r="J3201" s="695">
        <f t="shared" si="418"/>
        <v>0</v>
      </c>
      <c r="K3201" s="650" t="e">
        <f t="shared" si="416"/>
        <v>#DIV/0!</v>
      </c>
    </row>
    <row r="3202" spans="1:11" ht="24.95" customHeight="1">
      <c r="A3202" s="1376" t="s">
        <v>5886</v>
      </c>
      <c r="B3202" s="1357" t="s">
        <v>5887</v>
      </c>
      <c r="C3202" s="1374"/>
      <c r="D3202" s="1374"/>
      <c r="E3202" s="1258" t="e">
        <f t="shared" si="414"/>
        <v>#DIV/0!</v>
      </c>
      <c r="F3202" s="723"/>
      <c r="G3202" s="723"/>
      <c r="H3202" s="1258" t="e">
        <f t="shared" si="415"/>
        <v>#DIV/0!</v>
      </c>
      <c r="I3202" s="1259">
        <f t="shared" si="419"/>
        <v>0</v>
      </c>
      <c r="J3202" s="695">
        <f t="shared" si="418"/>
        <v>0</v>
      </c>
      <c r="K3202" s="650" t="e">
        <f t="shared" si="416"/>
        <v>#DIV/0!</v>
      </c>
    </row>
    <row r="3203" spans="1:11" ht="24.95" customHeight="1">
      <c r="A3203" s="1376" t="s">
        <v>5420</v>
      </c>
      <c r="B3203" s="1357" t="s">
        <v>5421</v>
      </c>
      <c r="C3203" s="1374"/>
      <c r="D3203" s="1374"/>
      <c r="E3203" s="1258" t="e">
        <f t="shared" si="414"/>
        <v>#DIV/0!</v>
      </c>
      <c r="F3203" s="723"/>
      <c r="G3203" s="723"/>
      <c r="H3203" s="1258" t="e">
        <f t="shared" si="415"/>
        <v>#DIV/0!</v>
      </c>
      <c r="I3203" s="1259">
        <f t="shared" si="419"/>
        <v>0</v>
      </c>
      <c r="J3203" s="695">
        <f t="shared" si="418"/>
        <v>0</v>
      </c>
      <c r="K3203" s="650" t="e">
        <f t="shared" si="416"/>
        <v>#DIV/0!</v>
      </c>
    </row>
    <row r="3204" spans="1:11" ht="24.95" customHeight="1">
      <c r="A3204" s="1376" t="s">
        <v>5484</v>
      </c>
      <c r="B3204" s="1379" t="s">
        <v>5888</v>
      </c>
      <c r="C3204" s="1374"/>
      <c r="D3204" s="1374"/>
      <c r="E3204" s="1258" t="e">
        <f t="shared" si="414"/>
        <v>#DIV/0!</v>
      </c>
      <c r="F3204" s="723">
        <v>0</v>
      </c>
      <c r="G3204" s="723"/>
      <c r="H3204" s="1258" t="e">
        <f t="shared" si="415"/>
        <v>#DIV/0!</v>
      </c>
      <c r="I3204" s="1259">
        <f t="shared" si="419"/>
        <v>0</v>
      </c>
      <c r="J3204" s="695">
        <f t="shared" si="418"/>
        <v>0</v>
      </c>
      <c r="K3204" s="650" t="e">
        <f t="shared" si="416"/>
        <v>#DIV/0!</v>
      </c>
    </row>
    <row r="3205" spans="1:11" ht="24.95" customHeight="1">
      <c r="A3205" s="1376" t="s">
        <v>3839</v>
      </c>
      <c r="B3205" s="1357" t="s">
        <v>3840</v>
      </c>
      <c r="C3205" s="1374"/>
      <c r="D3205" s="1374"/>
      <c r="E3205" s="1258" t="e">
        <f t="shared" si="414"/>
        <v>#DIV/0!</v>
      </c>
      <c r="F3205" s="723"/>
      <c r="G3205" s="723"/>
      <c r="H3205" s="1258" t="e">
        <f t="shared" si="415"/>
        <v>#DIV/0!</v>
      </c>
      <c r="I3205" s="1259">
        <f t="shared" si="419"/>
        <v>0</v>
      </c>
      <c r="J3205" s="695">
        <f t="shared" si="418"/>
        <v>0</v>
      </c>
      <c r="K3205" s="650" t="e">
        <f t="shared" si="416"/>
        <v>#DIV/0!</v>
      </c>
    </row>
    <row r="3206" spans="1:11" ht="24.95" customHeight="1">
      <c r="A3206" s="1376" t="s">
        <v>3841</v>
      </c>
      <c r="B3206" s="1385" t="s">
        <v>3842</v>
      </c>
      <c r="C3206" s="1374"/>
      <c r="D3206" s="1374"/>
      <c r="E3206" s="1258" t="e">
        <f t="shared" si="414"/>
        <v>#DIV/0!</v>
      </c>
      <c r="F3206" s="723"/>
      <c r="G3206" s="723"/>
      <c r="H3206" s="1258" t="e">
        <f t="shared" si="415"/>
        <v>#DIV/0!</v>
      </c>
      <c r="I3206" s="1259">
        <f t="shared" si="419"/>
        <v>0</v>
      </c>
      <c r="J3206" s="695">
        <f t="shared" si="418"/>
        <v>0</v>
      </c>
      <c r="K3206" s="650" t="e">
        <f t="shared" si="416"/>
        <v>#DIV/0!</v>
      </c>
    </row>
    <row r="3207" spans="1:11" ht="24.95" customHeight="1">
      <c r="A3207" s="1376" t="s">
        <v>4744</v>
      </c>
      <c r="B3207" s="1385" t="s">
        <v>5889</v>
      </c>
      <c r="C3207" s="1374"/>
      <c r="D3207" s="1374"/>
      <c r="E3207" s="1258" t="e">
        <f t="shared" si="414"/>
        <v>#DIV/0!</v>
      </c>
      <c r="F3207" s="723">
        <v>1</v>
      </c>
      <c r="G3207" s="723"/>
      <c r="H3207" s="1258">
        <f t="shared" si="415"/>
        <v>0</v>
      </c>
      <c r="I3207" s="1259">
        <f t="shared" si="419"/>
        <v>1</v>
      </c>
      <c r="J3207" s="695">
        <f t="shared" si="418"/>
        <v>0</v>
      </c>
      <c r="K3207" s="650">
        <f t="shared" si="416"/>
        <v>0</v>
      </c>
    </row>
    <row r="3208" spans="1:11" ht="24.95" customHeight="1">
      <c r="A3208" s="1376" t="s">
        <v>5890</v>
      </c>
      <c r="B3208" s="1379" t="s">
        <v>5891</v>
      </c>
      <c r="C3208" s="1374"/>
      <c r="D3208" s="1374"/>
      <c r="E3208" s="1258" t="e">
        <f t="shared" si="414"/>
        <v>#DIV/0!</v>
      </c>
      <c r="F3208" s="723"/>
      <c r="G3208" s="723"/>
      <c r="H3208" s="1258" t="e">
        <f t="shared" si="415"/>
        <v>#DIV/0!</v>
      </c>
      <c r="I3208" s="1259">
        <f t="shared" si="419"/>
        <v>0</v>
      </c>
      <c r="J3208" s="695">
        <f t="shared" si="418"/>
        <v>0</v>
      </c>
      <c r="K3208" s="650" t="e">
        <f t="shared" si="416"/>
        <v>#DIV/0!</v>
      </c>
    </row>
    <row r="3209" spans="1:11" ht="24.95" customHeight="1">
      <c r="A3209" s="1376" t="s">
        <v>5892</v>
      </c>
      <c r="B3209" s="1357" t="s">
        <v>5893</v>
      </c>
      <c r="C3209" s="1374"/>
      <c r="D3209" s="1374"/>
      <c r="E3209" s="1258" t="e">
        <f t="shared" si="414"/>
        <v>#DIV/0!</v>
      </c>
      <c r="F3209" s="723">
        <v>5</v>
      </c>
      <c r="G3209" s="723"/>
      <c r="H3209" s="1258">
        <f t="shared" si="415"/>
        <v>0</v>
      </c>
      <c r="I3209" s="1259">
        <f t="shared" si="419"/>
        <v>5</v>
      </c>
      <c r="J3209" s="695">
        <f t="shared" si="418"/>
        <v>0</v>
      </c>
      <c r="K3209" s="650">
        <f t="shared" si="416"/>
        <v>0</v>
      </c>
    </row>
    <row r="3210" spans="1:11" ht="24.95" customHeight="1">
      <c r="A3210" s="1376" t="s">
        <v>5894</v>
      </c>
      <c r="B3210" s="1357" t="s">
        <v>5895</v>
      </c>
      <c r="C3210" s="1374"/>
      <c r="D3210" s="1374"/>
      <c r="E3210" s="1258" t="e">
        <f t="shared" si="414"/>
        <v>#DIV/0!</v>
      </c>
      <c r="F3210" s="723"/>
      <c r="G3210" s="723"/>
      <c r="H3210" s="1258" t="e">
        <f t="shared" si="415"/>
        <v>#DIV/0!</v>
      </c>
      <c r="I3210" s="1259">
        <f t="shared" si="419"/>
        <v>0</v>
      </c>
      <c r="J3210" s="695">
        <f t="shared" si="418"/>
        <v>0</v>
      </c>
      <c r="K3210" s="650" t="e">
        <f t="shared" si="416"/>
        <v>#DIV/0!</v>
      </c>
    </row>
    <row r="3211" spans="1:11" ht="24.95" customHeight="1">
      <c r="A3211" s="1376" t="s">
        <v>5896</v>
      </c>
      <c r="B3211" s="1357" t="s">
        <v>5897</v>
      </c>
      <c r="C3211" s="1374"/>
      <c r="D3211" s="1374"/>
      <c r="E3211" s="1258" t="e">
        <f t="shared" si="414"/>
        <v>#DIV/0!</v>
      </c>
      <c r="F3211" s="723"/>
      <c r="G3211" s="723"/>
      <c r="H3211" s="1258" t="e">
        <f t="shared" si="415"/>
        <v>#DIV/0!</v>
      </c>
      <c r="I3211" s="1259">
        <f t="shared" si="419"/>
        <v>0</v>
      </c>
      <c r="J3211" s="695">
        <f t="shared" si="418"/>
        <v>0</v>
      </c>
      <c r="K3211" s="650" t="e">
        <f t="shared" si="416"/>
        <v>#DIV/0!</v>
      </c>
    </row>
    <row r="3212" spans="1:11" ht="24.95" customHeight="1">
      <c r="A3212" s="1376" t="s">
        <v>5898</v>
      </c>
      <c r="B3212" s="1357" t="s">
        <v>5899</v>
      </c>
      <c r="C3212" s="1374"/>
      <c r="D3212" s="1374"/>
      <c r="E3212" s="1258" t="e">
        <f t="shared" si="414"/>
        <v>#DIV/0!</v>
      </c>
      <c r="F3212" s="723"/>
      <c r="G3212" s="723"/>
      <c r="H3212" s="1258" t="e">
        <f t="shared" si="415"/>
        <v>#DIV/0!</v>
      </c>
      <c r="I3212" s="1259">
        <f t="shared" si="419"/>
        <v>0</v>
      </c>
      <c r="J3212" s="695">
        <f t="shared" si="418"/>
        <v>0</v>
      </c>
      <c r="K3212" s="650" t="e">
        <f t="shared" si="416"/>
        <v>#DIV/0!</v>
      </c>
    </row>
    <row r="3213" spans="1:11" ht="24.95" customHeight="1">
      <c r="A3213" s="1376" t="s">
        <v>4456</v>
      </c>
      <c r="B3213" s="1357" t="s">
        <v>4457</v>
      </c>
      <c r="C3213" s="1374">
        <v>5</v>
      </c>
      <c r="D3213" s="1374"/>
      <c r="E3213" s="1258">
        <f t="shared" si="414"/>
        <v>0</v>
      </c>
      <c r="F3213" s="723">
        <v>20</v>
      </c>
      <c r="G3213" s="723">
        <v>2</v>
      </c>
      <c r="H3213" s="1258">
        <f t="shared" si="415"/>
        <v>0.1</v>
      </c>
      <c r="I3213" s="1259">
        <f t="shared" si="419"/>
        <v>25</v>
      </c>
      <c r="J3213" s="695">
        <f t="shared" si="418"/>
        <v>2</v>
      </c>
      <c r="K3213" s="650">
        <f t="shared" si="416"/>
        <v>0.08</v>
      </c>
    </row>
    <row r="3214" spans="1:11" ht="24.95" customHeight="1">
      <c r="A3214" s="1376" t="s">
        <v>4458</v>
      </c>
      <c r="B3214" s="1357" t="s">
        <v>4459</v>
      </c>
      <c r="C3214" s="1374"/>
      <c r="D3214" s="1374"/>
      <c r="E3214" s="1258" t="e">
        <f t="shared" si="414"/>
        <v>#DIV/0!</v>
      </c>
      <c r="F3214" s="1377">
        <v>60</v>
      </c>
      <c r="G3214" s="1377">
        <v>25</v>
      </c>
      <c r="H3214" s="1258">
        <f t="shared" si="415"/>
        <v>0.41666666666666669</v>
      </c>
      <c r="I3214" s="1259">
        <f t="shared" si="419"/>
        <v>60</v>
      </c>
      <c r="J3214" s="695">
        <f t="shared" si="418"/>
        <v>25</v>
      </c>
      <c r="K3214" s="650">
        <f t="shared" si="416"/>
        <v>0.41666666666666669</v>
      </c>
    </row>
    <row r="3215" spans="1:11" ht="24.95" customHeight="1">
      <c r="A3215" s="1234" t="s">
        <v>4460</v>
      </c>
      <c r="B3215" s="1372" t="s">
        <v>4461</v>
      </c>
      <c r="C3215" s="1374"/>
      <c r="D3215" s="1374"/>
      <c r="E3215" s="1258" t="e">
        <f t="shared" si="414"/>
        <v>#DIV/0!</v>
      </c>
      <c r="F3215" s="1377">
        <v>5</v>
      </c>
      <c r="G3215" s="1377">
        <v>2</v>
      </c>
      <c r="H3215" s="1258">
        <f t="shared" si="415"/>
        <v>0.4</v>
      </c>
      <c r="I3215" s="1259">
        <f t="shared" si="419"/>
        <v>5</v>
      </c>
      <c r="J3215" s="695">
        <f t="shared" si="418"/>
        <v>2</v>
      </c>
      <c r="K3215" s="650">
        <f t="shared" si="416"/>
        <v>0.4</v>
      </c>
    </row>
    <row r="3216" spans="1:11" ht="24.95" customHeight="1">
      <c r="A3216" s="1376" t="s">
        <v>4122</v>
      </c>
      <c r="B3216" s="1378" t="s">
        <v>4123</v>
      </c>
      <c r="C3216" s="1374"/>
      <c r="D3216" s="1374"/>
      <c r="E3216" s="1258" t="e">
        <f t="shared" si="414"/>
        <v>#DIV/0!</v>
      </c>
      <c r="F3216" s="723">
        <v>3</v>
      </c>
      <c r="G3216" s="723">
        <v>4</v>
      </c>
      <c r="H3216" s="1258">
        <f t="shared" si="415"/>
        <v>1.3333333333333333</v>
      </c>
      <c r="I3216" s="1259">
        <f t="shared" si="419"/>
        <v>3</v>
      </c>
      <c r="J3216" s="695">
        <f t="shared" si="418"/>
        <v>4</v>
      </c>
      <c r="K3216" s="650">
        <f t="shared" si="416"/>
        <v>1.3333333333333333</v>
      </c>
    </row>
    <row r="3217" spans="1:11" ht="24.95" customHeight="1">
      <c r="A3217" s="1376" t="s">
        <v>5900</v>
      </c>
      <c r="B3217" s="1386" t="s">
        <v>5901</v>
      </c>
      <c r="C3217" s="1374"/>
      <c r="D3217" s="1374"/>
      <c r="E3217" s="1258" t="e">
        <f t="shared" si="414"/>
        <v>#DIV/0!</v>
      </c>
      <c r="F3217" s="723"/>
      <c r="G3217" s="723"/>
      <c r="H3217" s="1258" t="e">
        <f t="shared" si="415"/>
        <v>#DIV/0!</v>
      </c>
      <c r="I3217" s="1259">
        <f t="shared" si="419"/>
        <v>0</v>
      </c>
      <c r="J3217" s="695">
        <f t="shared" si="418"/>
        <v>0</v>
      </c>
      <c r="K3217" s="650" t="e">
        <f t="shared" si="416"/>
        <v>#DIV/0!</v>
      </c>
    </row>
    <row r="3218" spans="1:11" ht="24.95" customHeight="1">
      <c r="A3218" s="1376" t="s">
        <v>5902</v>
      </c>
      <c r="B3218" s="1386" t="s">
        <v>5903</v>
      </c>
      <c r="C3218" s="1374"/>
      <c r="D3218" s="1374"/>
      <c r="E3218" s="1258" t="e">
        <f t="shared" si="414"/>
        <v>#DIV/0!</v>
      </c>
      <c r="F3218" s="723">
        <v>5</v>
      </c>
      <c r="G3218" s="723"/>
      <c r="H3218" s="1258">
        <f t="shared" si="415"/>
        <v>0</v>
      </c>
      <c r="I3218" s="1259">
        <f t="shared" si="419"/>
        <v>5</v>
      </c>
      <c r="J3218" s="695">
        <f t="shared" si="418"/>
        <v>0</v>
      </c>
      <c r="K3218" s="650">
        <f t="shared" si="416"/>
        <v>0</v>
      </c>
    </row>
    <row r="3219" spans="1:11" ht="24.95" customHeight="1">
      <c r="A3219" s="1376" t="s">
        <v>4834</v>
      </c>
      <c r="B3219" s="1386" t="s">
        <v>4835</v>
      </c>
      <c r="C3219" s="1374"/>
      <c r="D3219" s="1374"/>
      <c r="E3219" s="1258" t="e">
        <f t="shared" si="414"/>
        <v>#DIV/0!</v>
      </c>
      <c r="F3219" s="723">
        <v>5</v>
      </c>
      <c r="G3219" s="723"/>
      <c r="H3219" s="1258">
        <f t="shared" si="415"/>
        <v>0</v>
      </c>
      <c r="I3219" s="1259">
        <f t="shared" si="419"/>
        <v>5</v>
      </c>
      <c r="J3219" s="695">
        <f t="shared" si="418"/>
        <v>0</v>
      </c>
      <c r="K3219" s="650">
        <f t="shared" si="416"/>
        <v>0</v>
      </c>
    </row>
    <row r="3220" spans="1:11" ht="24.95" customHeight="1">
      <c r="A3220" s="1234" t="s">
        <v>5904</v>
      </c>
      <c r="B3220" s="1385" t="s">
        <v>5905</v>
      </c>
      <c r="C3220" s="1374"/>
      <c r="D3220" s="1374"/>
      <c r="E3220" s="1258" t="e">
        <f t="shared" ref="E3220:E3283" si="420">+D3220/C3220</f>
        <v>#DIV/0!</v>
      </c>
      <c r="F3220" s="723">
        <v>1</v>
      </c>
      <c r="G3220" s="723">
        <v>1</v>
      </c>
      <c r="H3220" s="1258">
        <f t="shared" ref="H3220:H3283" si="421">+G3220/F3220</f>
        <v>1</v>
      </c>
      <c r="I3220" s="1259">
        <f t="shared" si="419"/>
        <v>1</v>
      </c>
      <c r="J3220" s="695">
        <f t="shared" si="418"/>
        <v>1</v>
      </c>
      <c r="K3220" s="650">
        <f t="shared" ref="K3220:K3283" si="422">+J3220/I3220</f>
        <v>1</v>
      </c>
    </row>
    <row r="3221" spans="1:11" ht="24.95" customHeight="1">
      <c r="A3221" s="1376" t="s">
        <v>5906</v>
      </c>
      <c r="B3221" s="1357" t="s">
        <v>5907</v>
      </c>
      <c r="C3221" s="1374"/>
      <c r="D3221" s="1374"/>
      <c r="E3221" s="1258" t="e">
        <f t="shared" si="420"/>
        <v>#DIV/0!</v>
      </c>
      <c r="F3221" s="723"/>
      <c r="G3221" s="723"/>
      <c r="H3221" s="1258" t="e">
        <f t="shared" si="421"/>
        <v>#DIV/0!</v>
      </c>
      <c r="I3221" s="1259">
        <f t="shared" si="419"/>
        <v>0</v>
      </c>
      <c r="J3221" s="695">
        <f t="shared" si="418"/>
        <v>0</v>
      </c>
      <c r="K3221" s="650" t="e">
        <f t="shared" si="422"/>
        <v>#DIV/0!</v>
      </c>
    </row>
    <row r="3222" spans="1:11" ht="24.95" customHeight="1">
      <c r="A3222" s="1376" t="s">
        <v>5908</v>
      </c>
      <c r="B3222" s="1378" t="s">
        <v>5909</v>
      </c>
      <c r="C3222" s="1374"/>
      <c r="D3222" s="1374"/>
      <c r="E3222" s="1258" t="e">
        <f t="shared" si="420"/>
        <v>#DIV/0!</v>
      </c>
      <c r="F3222" s="723"/>
      <c r="G3222" s="723"/>
      <c r="H3222" s="1258" t="e">
        <f t="shared" si="421"/>
        <v>#DIV/0!</v>
      </c>
      <c r="I3222" s="1259">
        <f t="shared" si="419"/>
        <v>0</v>
      </c>
      <c r="J3222" s="695">
        <f t="shared" si="418"/>
        <v>0</v>
      </c>
      <c r="K3222" s="650" t="e">
        <f t="shared" si="422"/>
        <v>#DIV/0!</v>
      </c>
    </row>
    <row r="3223" spans="1:11" ht="24.95" customHeight="1">
      <c r="A3223" s="1376" t="s">
        <v>5910</v>
      </c>
      <c r="B3223" s="1357" t="s">
        <v>5911</v>
      </c>
      <c r="C3223" s="1374"/>
      <c r="D3223" s="1374"/>
      <c r="E3223" s="1258" t="e">
        <f t="shared" si="420"/>
        <v>#DIV/0!</v>
      </c>
      <c r="F3223" s="723"/>
      <c r="G3223" s="723"/>
      <c r="H3223" s="1258" t="e">
        <f t="shared" si="421"/>
        <v>#DIV/0!</v>
      </c>
      <c r="I3223" s="1259">
        <f t="shared" si="419"/>
        <v>0</v>
      </c>
      <c r="J3223" s="695">
        <f t="shared" si="418"/>
        <v>0</v>
      </c>
      <c r="K3223" s="650" t="e">
        <f t="shared" si="422"/>
        <v>#DIV/0!</v>
      </c>
    </row>
    <row r="3224" spans="1:11" ht="24.95" customHeight="1">
      <c r="A3224" s="1376" t="s">
        <v>5912</v>
      </c>
      <c r="B3224" s="1357" t="s">
        <v>5913</v>
      </c>
      <c r="C3224" s="1374"/>
      <c r="D3224" s="1374"/>
      <c r="E3224" s="1258" t="e">
        <f t="shared" si="420"/>
        <v>#DIV/0!</v>
      </c>
      <c r="F3224" s="723"/>
      <c r="G3224" s="723"/>
      <c r="H3224" s="1258" t="e">
        <f t="shared" si="421"/>
        <v>#DIV/0!</v>
      </c>
      <c r="I3224" s="1259">
        <f t="shared" si="419"/>
        <v>0</v>
      </c>
      <c r="J3224" s="695">
        <f t="shared" si="418"/>
        <v>0</v>
      </c>
      <c r="K3224" s="650" t="e">
        <f t="shared" si="422"/>
        <v>#DIV/0!</v>
      </c>
    </row>
    <row r="3225" spans="1:11" ht="24.95" customHeight="1">
      <c r="A3225" s="456" t="s">
        <v>5340</v>
      </c>
      <c r="B3225" s="1225" t="s">
        <v>5341</v>
      </c>
      <c r="C3225" s="1374"/>
      <c r="D3225" s="1374"/>
      <c r="E3225" s="1258" t="e">
        <f t="shared" si="420"/>
        <v>#DIV/0!</v>
      </c>
      <c r="F3225" s="723">
        <v>5</v>
      </c>
      <c r="G3225" s="723"/>
      <c r="H3225" s="1258">
        <f t="shared" si="421"/>
        <v>0</v>
      </c>
      <c r="I3225" s="1259">
        <f t="shared" si="419"/>
        <v>5</v>
      </c>
      <c r="J3225" s="695">
        <f t="shared" si="418"/>
        <v>0</v>
      </c>
      <c r="K3225" s="650">
        <f t="shared" si="422"/>
        <v>0</v>
      </c>
    </row>
    <row r="3226" spans="1:11" ht="24.95" customHeight="1">
      <c r="A3226" s="1325" t="s">
        <v>5914</v>
      </c>
      <c r="B3226" s="1379" t="s">
        <v>5915</v>
      </c>
      <c r="C3226" s="1374"/>
      <c r="D3226" s="1374"/>
      <c r="E3226" s="1258" t="e">
        <f t="shared" si="420"/>
        <v>#DIV/0!</v>
      </c>
      <c r="F3226" s="723">
        <v>65</v>
      </c>
      <c r="G3226" s="723">
        <v>38</v>
      </c>
      <c r="H3226" s="1258">
        <f t="shared" si="421"/>
        <v>0.58461538461538465</v>
      </c>
      <c r="I3226" s="1259">
        <f t="shared" si="419"/>
        <v>65</v>
      </c>
      <c r="J3226" s="695">
        <f t="shared" si="418"/>
        <v>38</v>
      </c>
      <c r="K3226" s="650">
        <f t="shared" si="422"/>
        <v>0.58461538461538465</v>
      </c>
    </row>
    <row r="3227" spans="1:11" ht="24.95" customHeight="1">
      <c r="A3227" s="456" t="s">
        <v>5916</v>
      </c>
      <c r="B3227" s="1225" t="s">
        <v>5917</v>
      </c>
      <c r="C3227" s="1374"/>
      <c r="D3227" s="1374"/>
      <c r="E3227" s="1258" t="e">
        <f t="shared" si="420"/>
        <v>#DIV/0!</v>
      </c>
      <c r="F3227" s="1377">
        <v>55</v>
      </c>
      <c r="G3227" s="1377">
        <v>25</v>
      </c>
      <c r="H3227" s="1258">
        <f t="shared" si="421"/>
        <v>0.45454545454545453</v>
      </c>
      <c r="I3227" s="1259">
        <f t="shared" si="419"/>
        <v>55</v>
      </c>
      <c r="J3227" s="695">
        <f t="shared" si="418"/>
        <v>25</v>
      </c>
      <c r="K3227" s="650">
        <f t="shared" si="422"/>
        <v>0.45454545454545453</v>
      </c>
    </row>
    <row r="3228" spans="1:11" ht="24.95" customHeight="1">
      <c r="A3228" s="456" t="s">
        <v>5918</v>
      </c>
      <c r="B3228" s="1225" t="s">
        <v>5919</v>
      </c>
      <c r="C3228" s="1374"/>
      <c r="D3228" s="1374"/>
      <c r="E3228" s="1258" t="e">
        <f t="shared" si="420"/>
        <v>#DIV/0!</v>
      </c>
      <c r="F3228" s="1377">
        <v>5</v>
      </c>
      <c r="G3228" s="1377">
        <v>4</v>
      </c>
      <c r="H3228" s="1258">
        <f t="shared" si="421"/>
        <v>0.8</v>
      </c>
      <c r="I3228" s="1259">
        <f t="shared" si="419"/>
        <v>5</v>
      </c>
      <c r="J3228" s="695">
        <f t="shared" si="418"/>
        <v>4</v>
      </c>
      <c r="K3228" s="650">
        <f t="shared" si="422"/>
        <v>0.8</v>
      </c>
    </row>
    <row r="3229" spans="1:11" ht="24.95" customHeight="1">
      <c r="A3229" s="456" t="s">
        <v>5880</v>
      </c>
      <c r="B3229" s="1225" t="s">
        <v>5881</v>
      </c>
      <c r="C3229" s="1374"/>
      <c r="D3229" s="1374"/>
      <c r="E3229" s="1258" t="e">
        <f t="shared" si="420"/>
        <v>#DIV/0!</v>
      </c>
      <c r="F3229" s="723">
        <v>3</v>
      </c>
      <c r="G3229" s="723">
        <v>1</v>
      </c>
      <c r="H3229" s="1258">
        <f t="shared" si="421"/>
        <v>0.33333333333333331</v>
      </c>
      <c r="I3229" s="1259">
        <f t="shared" si="419"/>
        <v>3</v>
      </c>
      <c r="J3229" s="695">
        <f t="shared" si="418"/>
        <v>1</v>
      </c>
      <c r="K3229" s="650">
        <f t="shared" si="422"/>
        <v>0.33333333333333331</v>
      </c>
    </row>
    <row r="3230" spans="1:11" ht="24.95" customHeight="1">
      <c r="A3230" s="456" t="s">
        <v>5920</v>
      </c>
      <c r="B3230" s="1225" t="s">
        <v>5921</v>
      </c>
      <c r="C3230" s="1374"/>
      <c r="D3230" s="1374"/>
      <c r="E3230" s="1258" t="e">
        <f t="shared" si="420"/>
        <v>#DIV/0!</v>
      </c>
      <c r="F3230" s="723">
        <v>3</v>
      </c>
      <c r="G3230" s="723"/>
      <c r="H3230" s="1258">
        <f t="shared" si="421"/>
        <v>0</v>
      </c>
      <c r="I3230" s="1259">
        <f t="shared" si="419"/>
        <v>3</v>
      </c>
      <c r="J3230" s="695">
        <f t="shared" si="418"/>
        <v>0</v>
      </c>
      <c r="K3230" s="650">
        <f t="shared" si="422"/>
        <v>0</v>
      </c>
    </row>
    <row r="3231" spans="1:11" ht="24.95" customHeight="1">
      <c r="A3231" s="456" t="s">
        <v>5922</v>
      </c>
      <c r="B3231" s="1387" t="s">
        <v>5923</v>
      </c>
      <c r="C3231" s="1374"/>
      <c r="D3231" s="1374"/>
      <c r="E3231" s="1258" t="e">
        <f t="shared" si="420"/>
        <v>#DIV/0!</v>
      </c>
      <c r="F3231" s="723"/>
      <c r="G3231" s="723"/>
      <c r="H3231" s="1258" t="e">
        <f t="shared" si="421"/>
        <v>#DIV/0!</v>
      </c>
      <c r="I3231" s="1259">
        <f t="shared" si="419"/>
        <v>0</v>
      </c>
      <c r="J3231" s="695">
        <f t="shared" si="418"/>
        <v>0</v>
      </c>
      <c r="K3231" s="650" t="e">
        <f t="shared" si="422"/>
        <v>#DIV/0!</v>
      </c>
    </row>
    <row r="3232" spans="1:11" ht="24.95" customHeight="1">
      <c r="A3232" s="456" t="s">
        <v>5924</v>
      </c>
      <c r="B3232" s="1387" t="s">
        <v>5925</v>
      </c>
      <c r="C3232" s="1374"/>
      <c r="D3232" s="1374"/>
      <c r="E3232" s="1258" t="e">
        <f t="shared" si="420"/>
        <v>#DIV/0!</v>
      </c>
      <c r="F3232" s="723"/>
      <c r="G3232" s="723"/>
      <c r="H3232" s="1258" t="e">
        <f t="shared" si="421"/>
        <v>#DIV/0!</v>
      </c>
      <c r="I3232" s="1259">
        <f t="shared" si="419"/>
        <v>0</v>
      </c>
      <c r="J3232" s="695">
        <f t="shared" si="419"/>
        <v>0</v>
      </c>
      <c r="K3232" s="650" t="e">
        <f t="shared" si="422"/>
        <v>#DIV/0!</v>
      </c>
    </row>
    <row r="3233" spans="1:11" ht="24.95" customHeight="1">
      <c r="A3233" s="456" t="s">
        <v>5926</v>
      </c>
      <c r="B3233" s="1387" t="s">
        <v>5927</v>
      </c>
      <c r="C3233" s="1374"/>
      <c r="D3233" s="1374"/>
      <c r="E3233" s="1258" t="e">
        <f t="shared" si="420"/>
        <v>#DIV/0!</v>
      </c>
      <c r="F3233" s="723">
        <v>3</v>
      </c>
      <c r="G3233" s="723"/>
      <c r="H3233" s="1258">
        <f t="shared" si="421"/>
        <v>0</v>
      </c>
      <c r="I3233" s="1259">
        <f t="shared" ref="I3233:J3264" si="423">+C3233+F3233</f>
        <v>3</v>
      </c>
      <c r="J3233" s="695">
        <f t="shared" si="423"/>
        <v>0</v>
      </c>
      <c r="K3233" s="650">
        <f t="shared" si="422"/>
        <v>0</v>
      </c>
    </row>
    <row r="3234" spans="1:11" ht="24.95" customHeight="1">
      <c r="A3234" s="456" t="s">
        <v>5928</v>
      </c>
      <c r="B3234" s="1387" t="s">
        <v>5929</v>
      </c>
      <c r="C3234" s="1374"/>
      <c r="D3234" s="1374"/>
      <c r="E3234" s="1258" t="e">
        <f t="shared" si="420"/>
        <v>#DIV/0!</v>
      </c>
      <c r="F3234" s="723"/>
      <c r="G3234" s="723"/>
      <c r="H3234" s="1258" t="e">
        <f t="shared" si="421"/>
        <v>#DIV/0!</v>
      </c>
      <c r="I3234" s="1259">
        <f t="shared" si="423"/>
        <v>0</v>
      </c>
      <c r="J3234" s="695">
        <f t="shared" si="423"/>
        <v>0</v>
      </c>
      <c r="K3234" s="650" t="e">
        <f t="shared" si="422"/>
        <v>#DIV/0!</v>
      </c>
    </row>
    <row r="3235" spans="1:11" ht="24.95" customHeight="1">
      <c r="A3235" s="456" t="s">
        <v>5930</v>
      </c>
      <c r="B3235" s="1387" t="s">
        <v>5931</v>
      </c>
      <c r="C3235" s="1374"/>
      <c r="D3235" s="1374"/>
      <c r="E3235" s="1258" t="e">
        <f t="shared" si="420"/>
        <v>#DIV/0!</v>
      </c>
      <c r="F3235" s="723"/>
      <c r="G3235" s="723"/>
      <c r="H3235" s="1258" t="e">
        <f t="shared" si="421"/>
        <v>#DIV/0!</v>
      </c>
      <c r="I3235" s="1259">
        <f t="shared" si="423"/>
        <v>0</v>
      </c>
      <c r="J3235" s="695">
        <f t="shared" si="423"/>
        <v>0</v>
      </c>
      <c r="K3235" s="650" t="e">
        <f t="shared" si="422"/>
        <v>#DIV/0!</v>
      </c>
    </row>
    <row r="3236" spans="1:11" ht="24.95" customHeight="1">
      <c r="A3236" s="456" t="s">
        <v>5932</v>
      </c>
      <c r="B3236" s="1387" t="s">
        <v>5933</v>
      </c>
      <c r="C3236" s="1374"/>
      <c r="D3236" s="1374"/>
      <c r="E3236" s="1258" t="e">
        <f t="shared" si="420"/>
        <v>#DIV/0!</v>
      </c>
      <c r="F3236" s="723"/>
      <c r="G3236" s="723"/>
      <c r="H3236" s="1258" t="e">
        <f t="shared" si="421"/>
        <v>#DIV/0!</v>
      </c>
      <c r="I3236" s="1259">
        <f t="shared" si="423"/>
        <v>0</v>
      </c>
      <c r="J3236" s="695">
        <f t="shared" si="423"/>
        <v>0</v>
      </c>
      <c r="K3236" s="650" t="e">
        <f t="shared" si="422"/>
        <v>#DIV/0!</v>
      </c>
    </row>
    <row r="3237" spans="1:11" ht="24.95" customHeight="1">
      <c r="A3237" s="456" t="s">
        <v>5934</v>
      </c>
      <c r="B3237" s="1387" t="s">
        <v>5935</v>
      </c>
      <c r="C3237" s="1374"/>
      <c r="D3237" s="1374"/>
      <c r="E3237" s="1258" t="e">
        <f t="shared" si="420"/>
        <v>#DIV/0!</v>
      </c>
      <c r="F3237" s="723"/>
      <c r="G3237" s="723"/>
      <c r="H3237" s="1258" t="e">
        <f t="shared" si="421"/>
        <v>#DIV/0!</v>
      </c>
      <c r="I3237" s="1259">
        <f t="shared" si="423"/>
        <v>0</v>
      </c>
      <c r="J3237" s="695">
        <f t="shared" si="423"/>
        <v>0</v>
      </c>
      <c r="K3237" s="650" t="e">
        <f t="shared" si="422"/>
        <v>#DIV/0!</v>
      </c>
    </row>
    <row r="3238" spans="1:11" ht="24.95" customHeight="1">
      <c r="A3238" s="456" t="s">
        <v>5936</v>
      </c>
      <c r="B3238" s="1225" t="s">
        <v>5937</v>
      </c>
      <c r="C3238" s="1374"/>
      <c r="D3238" s="1374"/>
      <c r="E3238" s="1258" t="e">
        <f t="shared" si="420"/>
        <v>#DIV/0!</v>
      </c>
      <c r="F3238" s="723"/>
      <c r="G3238" s="723"/>
      <c r="H3238" s="1258" t="e">
        <f t="shared" si="421"/>
        <v>#DIV/0!</v>
      </c>
      <c r="I3238" s="1259">
        <f t="shared" si="423"/>
        <v>0</v>
      </c>
      <c r="J3238" s="695">
        <f t="shared" si="423"/>
        <v>0</v>
      </c>
      <c r="K3238" s="650" t="e">
        <f t="shared" si="422"/>
        <v>#DIV/0!</v>
      </c>
    </row>
    <row r="3239" spans="1:11" ht="24.95" customHeight="1">
      <c r="A3239" s="456" t="s">
        <v>5938</v>
      </c>
      <c r="B3239" s="1225" t="s">
        <v>5939</v>
      </c>
      <c r="C3239" s="1374"/>
      <c r="D3239" s="1374"/>
      <c r="E3239" s="1258" t="e">
        <f t="shared" si="420"/>
        <v>#DIV/0!</v>
      </c>
      <c r="F3239" s="723"/>
      <c r="G3239" s="723"/>
      <c r="H3239" s="1258" t="e">
        <f t="shared" si="421"/>
        <v>#DIV/0!</v>
      </c>
      <c r="I3239" s="1259">
        <f t="shared" si="423"/>
        <v>0</v>
      </c>
      <c r="J3239" s="695">
        <f t="shared" si="423"/>
        <v>0</v>
      </c>
      <c r="K3239" s="650" t="e">
        <f t="shared" si="422"/>
        <v>#DIV/0!</v>
      </c>
    </row>
    <row r="3240" spans="1:11" ht="24.95" customHeight="1">
      <c r="A3240" s="456" t="s">
        <v>5940</v>
      </c>
      <c r="B3240" s="1225" t="s">
        <v>5941</v>
      </c>
      <c r="C3240" s="1374"/>
      <c r="D3240" s="1374"/>
      <c r="E3240" s="1258" t="e">
        <f t="shared" si="420"/>
        <v>#DIV/0!</v>
      </c>
      <c r="F3240" s="723"/>
      <c r="G3240" s="723"/>
      <c r="H3240" s="1258" t="e">
        <f t="shared" si="421"/>
        <v>#DIV/0!</v>
      </c>
      <c r="I3240" s="1259">
        <f t="shared" si="423"/>
        <v>0</v>
      </c>
      <c r="J3240" s="695">
        <f t="shared" si="423"/>
        <v>0</v>
      </c>
      <c r="K3240" s="650" t="e">
        <f t="shared" si="422"/>
        <v>#DIV/0!</v>
      </c>
    </row>
    <row r="3241" spans="1:11" ht="24.95" customHeight="1">
      <c r="A3241" s="456" t="s">
        <v>5942</v>
      </c>
      <c r="B3241" s="1225" t="s">
        <v>5943</v>
      </c>
      <c r="C3241" s="1374"/>
      <c r="D3241" s="1374"/>
      <c r="E3241" s="1258" t="e">
        <f t="shared" si="420"/>
        <v>#DIV/0!</v>
      </c>
      <c r="F3241" s="723"/>
      <c r="G3241" s="723"/>
      <c r="H3241" s="1258" t="e">
        <f t="shared" si="421"/>
        <v>#DIV/0!</v>
      </c>
      <c r="I3241" s="1259">
        <f t="shared" si="423"/>
        <v>0</v>
      </c>
      <c r="J3241" s="695">
        <f t="shared" si="423"/>
        <v>0</v>
      </c>
      <c r="K3241" s="650" t="e">
        <f t="shared" si="422"/>
        <v>#DIV/0!</v>
      </c>
    </row>
    <row r="3242" spans="1:11" ht="24.95" customHeight="1">
      <c r="A3242" s="456" t="s">
        <v>5944</v>
      </c>
      <c r="B3242" s="1225" t="s">
        <v>5945</v>
      </c>
      <c r="C3242" s="1374"/>
      <c r="D3242" s="1374"/>
      <c r="E3242" s="1258" t="e">
        <f t="shared" si="420"/>
        <v>#DIV/0!</v>
      </c>
      <c r="F3242" s="723"/>
      <c r="G3242" s="723"/>
      <c r="H3242" s="1258" t="e">
        <f t="shared" si="421"/>
        <v>#DIV/0!</v>
      </c>
      <c r="I3242" s="1259">
        <f t="shared" si="423"/>
        <v>0</v>
      </c>
      <c r="J3242" s="695">
        <f t="shared" si="423"/>
        <v>0</v>
      </c>
      <c r="K3242" s="650" t="e">
        <f t="shared" si="422"/>
        <v>#DIV/0!</v>
      </c>
    </row>
    <row r="3243" spans="1:11" ht="24.95" customHeight="1">
      <c r="A3243" s="456" t="s">
        <v>5946</v>
      </c>
      <c r="B3243" s="1225" t="s">
        <v>5947</v>
      </c>
      <c r="C3243" s="1374"/>
      <c r="D3243" s="1374"/>
      <c r="E3243" s="1258" t="e">
        <f t="shared" si="420"/>
        <v>#DIV/0!</v>
      </c>
      <c r="F3243" s="723">
        <v>3</v>
      </c>
      <c r="G3243" s="723"/>
      <c r="H3243" s="1258">
        <f t="shared" si="421"/>
        <v>0</v>
      </c>
      <c r="I3243" s="1259">
        <f t="shared" si="423"/>
        <v>3</v>
      </c>
      <c r="J3243" s="695">
        <f t="shared" si="423"/>
        <v>0</v>
      </c>
      <c r="K3243" s="650">
        <f t="shared" si="422"/>
        <v>0</v>
      </c>
    </row>
    <row r="3244" spans="1:11" ht="24.95" customHeight="1">
      <c r="A3244" s="456" t="s">
        <v>5948</v>
      </c>
      <c r="B3244" s="1225" t="s">
        <v>5949</v>
      </c>
      <c r="C3244" s="1374"/>
      <c r="D3244" s="1374"/>
      <c r="E3244" s="1258" t="e">
        <f t="shared" si="420"/>
        <v>#DIV/0!</v>
      </c>
      <c r="F3244" s="723"/>
      <c r="G3244" s="723"/>
      <c r="H3244" s="1258" t="e">
        <f t="shared" si="421"/>
        <v>#DIV/0!</v>
      </c>
      <c r="I3244" s="1259">
        <f t="shared" si="423"/>
        <v>0</v>
      </c>
      <c r="J3244" s="695">
        <f t="shared" si="423"/>
        <v>0</v>
      </c>
      <c r="K3244" s="650" t="e">
        <f t="shared" si="422"/>
        <v>#DIV/0!</v>
      </c>
    </row>
    <row r="3245" spans="1:11" ht="24.95" customHeight="1">
      <c r="A3245" s="456" t="s">
        <v>5950</v>
      </c>
      <c r="B3245" s="1225" t="s">
        <v>5951</v>
      </c>
      <c r="C3245" s="1374"/>
      <c r="D3245" s="1374"/>
      <c r="E3245" s="1258" t="e">
        <f t="shared" si="420"/>
        <v>#DIV/0!</v>
      </c>
      <c r="F3245" s="723"/>
      <c r="G3245" s="723"/>
      <c r="H3245" s="1258" t="e">
        <f t="shared" si="421"/>
        <v>#DIV/0!</v>
      </c>
      <c r="I3245" s="1259">
        <f t="shared" si="423"/>
        <v>0</v>
      </c>
      <c r="J3245" s="695">
        <f t="shared" si="423"/>
        <v>0</v>
      </c>
      <c r="K3245" s="650" t="e">
        <f t="shared" si="422"/>
        <v>#DIV/0!</v>
      </c>
    </row>
    <row r="3246" spans="1:11" ht="24.95" customHeight="1">
      <c r="A3246" s="456" t="s">
        <v>5952</v>
      </c>
      <c r="B3246" s="1225" t="s">
        <v>5953</v>
      </c>
      <c r="C3246" s="1374"/>
      <c r="D3246" s="1374"/>
      <c r="E3246" s="1258" t="e">
        <f t="shared" si="420"/>
        <v>#DIV/0!</v>
      </c>
      <c r="F3246" s="723"/>
      <c r="G3246" s="723"/>
      <c r="H3246" s="1258" t="e">
        <f t="shared" si="421"/>
        <v>#DIV/0!</v>
      </c>
      <c r="I3246" s="1259">
        <f t="shared" si="423"/>
        <v>0</v>
      </c>
      <c r="J3246" s="695">
        <f t="shared" si="423"/>
        <v>0</v>
      </c>
      <c r="K3246" s="650" t="e">
        <f t="shared" si="422"/>
        <v>#DIV/0!</v>
      </c>
    </row>
    <row r="3247" spans="1:11" ht="24.95" customHeight="1">
      <c r="A3247" s="456" t="s">
        <v>5954</v>
      </c>
      <c r="B3247" s="1225" t="s">
        <v>5955</v>
      </c>
      <c r="C3247" s="1374"/>
      <c r="D3247" s="1374"/>
      <c r="E3247" s="1258" t="e">
        <f t="shared" si="420"/>
        <v>#DIV/0!</v>
      </c>
      <c r="F3247" s="723"/>
      <c r="G3247" s="723"/>
      <c r="H3247" s="1258" t="e">
        <f t="shared" si="421"/>
        <v>#DIV/0!</v>
      </c>
      <c r="I3247" s="1259">
        <f t="shared" si="423"/>
        <v>0</v>
      </c>
      <c r="J3247" s="695">
        <f t="shared" si="423"/>
        <v>0</v>
      </c>
      <c r="K3247" s="650" t="e">
        <f t="shared" si="422"/>
        <v>#DIV/0!</v>
      </c>
    </row>
    <row r="3248" spans="1:11" ht="24.95" customHeight="1">
      <c r="A3248" s="456" t="s">
        <v>5956</v>
      </c>
      <c r="B3248" s="1387" t="s">
        <v>5957</v>
      </c>
      <c r="C3248" s="1374"/>
      <c r="D3248" s="1374"/>
      <c r="E3248" s="1258" t="e">
        <f t="shared" si="420"/>
        <v>#DIV/0!</v>
      </c>
      <c r="F3248" s="723"/>
      <c r="G3248" s="723"/>
      <c r="H3248" s="1258" t="e">
        <f t="shared" si="421"/>
        <v>#DIV/0!</v>
      </c>
      <c r="I3248" s="1259">
        <f t="shared" si="423"/>
        <v>0</v>
      </c>
      <c r="J3248" s="695">
        <f t="shared" si="423"/>
        <v>0</v>
      </c>
      <c r="K3248" s="650" t="e">
        <f t="shared" si="422"/>
        <v>#DIV/0!</v>
      </c>
    </row>
    <row r="3249" spans="1:11" ht="24.95" customHeight="1">
      <c r="A3249" s="456" t="s">
        <v>5958</v>
      </c>
      <c r="B3249" s="1387" t="s">
        <v>5959</v>
      </c>
      <c r="C3249" s="1374"/>
      <c r="D3249" s="1374"/>
      <c r="E3249" s="1258" t="e">
        <f t="shared" si="420"/>
        <v>#DIV/0!</v>
      </c>
      <c r="F3249" s="723"/>
      <c r="G3249" s="723"/>
      <c r="H3249" s="1258" t="e">
        <f t="shared" si="421"/>
        <v>#DIV/0!</v>
      </c>
      <c r="I3249" s="1259">
        <f t="shared" si="423"/>
        <v>0</v>
      </c>
      <c r="J3249" s="695">
        <f t="shared" si="423"/>
        <v>0</v>
      </c>
      <c r="K3249" s="650" t="e">
        <f t="shared" si="422"/>
        <v>#DIV/0!</v>
      </c>
    </row>
    <row r="3250" spans="1:11" ht="24.95" customHeight="1">
      <c r="A3250" s="456" t="s">
        <v>5960</v>
      </c>
      <c r="B3250" s="1387" t="s">
        <v>5961</v>
      </c>
      <c r="C3250" s="1374"/>
      <c r="D3250" s="1374"/>
      <c r="E3250" s="1258" t="e">
        <f t="shared" si="420"/>
        <v>#DIV/0!</v>
      </c>
      <c r="F3250" s="723">
        <v>5</v>
      </c>
      <c r="G3250" s="723"/>
      <c r="H3250" s="1258">
        <f t="shared" si="421"/>
        <v>0</v>
      </c>
      <c r="I3250" s="1259">
        <f t="shared" si="423"/>
        <v>5</v>
      </c>
      <c r="J3250" s="695">
        <f t="shared" si="423"/>
        <v>0</v>
      </c>
      <c r="K3250" s="650">
        <f t="shared" si="422"/>
        <v>0</v>
      </c>
    </row>
    <row r="3251" spans="1:11" ht="24.95" customHeight="1">
      <c r="A3251" s="456" t="s">
        <v>5962</v>
      </c>
      <c r="B3251" s="1387" t="s">
        <v>5963</v>
      </c>
      <c r="C3251" s="1374"/>
      <c r="D3251" s="1374"/>
      <c r="E3251" s="1258" t="e">
        <f t="shared" si="420"/>
        <v>#DIV/0!</v>
      </c>
      <c r="F3251" s="723"/>
      <c r="G3251" s="723"/>
      <c r="H3251" s="1258" t="e">
        <f t="shared" si="421"/>
        <v>#DIV/0!</v>
      </c>
      <c r="I3251" s="1259">
        <f t="shared" si="423"/>
        <v>0</v>
      </c>
      <c r="J3251" s="695">
        <f t="shared" si="423"/>
        <v>0</v>
      </c>
      <c r="K3251" s="650" t="e">
        <f t="shared" si="422"/>
        <v>#DIV/0!</v>
      </c>
    </row>
    <row r="3252" spans="1:11" ht="24.95" customHeight="1">
      <c r="A3252" s="456" t="s">
        <v>5964</v>
      </c>
      <c r="B3252" s="1387" t="s">
        <v>5965</v>
      </c>
      <c r="C3252" s="1374"/>
      <c r="D3252" s="1374"/>
      <c r="E3252" s="1258" t="e">
        <f t="shared" si="420"/>
        <v>#DIV/0!</v>
      </c>
      <c r="F3252" s="723"/>
      <c r="G3252" s="723"/>
      <c r="H3252" s="1258" t="e">
        <f t="shared" si="421"/>
        <v>#DIV/0!</v>
      </c>
      <c r="I3252" s="1259">
        <f t="shared" si="423"/>
        <v>0</v>
      </c>
      <c r="J3252" s="695">
        <f t="shared" si="423"/>
        <v>0</v>
      </c>
      <c r="K3252" s="650" t="e">
        <f t="shared" si="422"/>
        <v>#DIV/0!</v>
      </c>
    </row>
    <row r="3253" spans="1:11" ht="24.95" customHeight="1">
      <c r="A3253" s="1223" t="s">
        <v>5966</v>
      </c>
      <c r="B3253" s="1386" t="s">
        <v>5967</v>
      </c>
      <c r="C3253" s="1374"/>
      <c r="D3253" s="1374"/>
      <c r="E3253" s="1258" t="e">
        <f t="shared" si="420"/>
        <v>#DIV/0!</v>
      </c>
      <c r="F3253" s="723"/>
      <c r="G3253" s="723"/>
      <c r="H3253" s="1258" t="e">
        <f t="shared" si="421"/>
        <v>#DIV/0!</v>
      </c>
      <c r="I3253" s="1259">
        <f t="shared" si="423"/>
        <v>0</v>
      </c>
      <c r="J3253" s="695">
        <f t="shared" si="423"/>
        <v>0</v>
      </c>
      <c r="K3253" s="650" t="e">
        <f t="shared" si="422"/>
        <v>#DIV/0!</v>
      </c>
    </row>
    <row r="3254" spans="1:11" ht="24.95" customHeight="1">
      <c r="A3254" s="456" t="s">
        <v>5968</v>
      </c>
      <c r="B3254" s="1387" t="s">
        <v>5969</v>
      </c>
      <c r="C3254" s="1374"/>
      <c r="D3254" s="1374"/>
      <c r="E3254" s="1258" t="e">
        <f t="shared" si="420"/>
        <v>#DIV/0!</v>
      </c>
      <c r="F3254" s="723">
        <v>5</v>
      </c>
      <c r="G3254" s="723"/>
      <c r="H3254" s="1258">
        <f t="shared" si="421"/>
        <v>0</v>
      </c>
      <c r="I3254" s="1259">
        <f t="shared" si="423"/>
        <v>5</v>
      </c>
      <c r="J3254" s="695">
        <f t="shared" si="423"/>
        <v>0</v>
      </c>
      <c r="K3254" s="650">
        <f t="shared" si="422"/>
        <v>0</v>
      </c>
    </row>
    <row r="3255" spans="1:11" ht="24.95" customHeight="1">
      <c r="A3255" s="456" t="s">
        <v>5970</v>
      </c>
      <c r="B3255" s="1388" t="s">
        <v>5971</v>
      </c>
      <c r="C3255" s="1374"/>
      <c r="D3255" s="1374"/>
      <c r="E3255" s="1258" t="e">
        <f t="shared" si="420"/>
        <v>#DIV/0!</v>
      </c>
      <c r="F3255" s="723">
        <v>5</v>
      </c>
      <c r="G3255" s="723">
        <v>1</v>
      </c>
      <c r="H3255" s="1258">
        <f t="shared" si="421"/>
        <v>0.2</v>
      </c>
      <c r="I3255" s="1259">
        <f t="shared" si="423"/>
        <v>5</v>
      </c>
      <c r="J3255" s="695">
        <f t="shared" si="423"/>
        <v>1</v>
      </c>
      <c r="K3255" s="650">
        <f t="shared" si="422"/>
        <v>0.2</v>
      </c>
    </row>
    <row r="3256" spans="1:11" ht="24.95" customHeight="1">
      <c r="A3256" s="456" t="s">
        <v>5972</v>
      </c>
      <c r="B3256" s="1387" t="s">
        <v>5973</v>
      </c>
      <c r="C3256" s="1374"/>
      <c r="D3256" s="1374"/>
      <c r="E3256" s="1258" t="e">
        <f t="shared" si="420"/>
        <v>#DIV/0!</v>
      </c>
      <c r="F3256" s="723">
        <v>3</v>
      </c>
      <c r="G3256" s="723"/>
      <c r="H3256" s="1258">
        <f t="shared" si="421"/>
        <v>0</v>
      </c>
      <c r="I3256" s="1259">
        <f t="shared" si="423"/>
        <v>3</v>
      </c>
      <c r="J3256" s="695">
        <f t="shared" si="423"/>
        <v>0</v>
      </c>
      <c r="K3256" s="650">
        <f t="shared" si="422"/>
        <v>0</v>
      </c>
    </row>
    <row r="3257" spans="1:11" ht="24.95" customHeight="1">
      <c r="A3257" s="456" t="s">
        <v>5974</v>
      </c>
      <c r="B3257" s="1225" t="s">
        <v>5975</v>
      </c>
      <c r="C3257" s="1374"/>
      <c r="D3257" s="1374"/>
      <c r="E3257" s="1258" t="e">
        <f t="shared" si="420"/>
        <v>#DIV/0!</v>
      </c>
      <c r="F3257" s="723">
        <v>3</v>
      </c>
      <c r="G3257" s="723"/>
      <c r="H3257" s="1258">
        <f t="shared" si="421"/>
        <v>0</v>
      </c>
      <c r="I3257" s="1259">
        <f t="shared" si="423"/>
        <v>3</v>
      </c>
      <c r="J3257" s="695">
        <f t="shared" si="423"/>
        <v>0</v>
      </c>
      <c r="K3257" s="650">
        <f t="shared" si="422"/>
        <v>0</v>
      </c>
    </row>
    <row r="3258" spans="1:11" ht="24.95" customHeight="1">
      <c r="A3258" s="456" t="s">
        <v>5976</v>
      </c>
      <c r="B3258" s="1225" t="s">
        <v>5977</v>
      </c>
      <c r="C3258" s="1374"/>
      <c r="D3258" s="1374"/>
      <c r="E3258" s="1258" t="e">
        <f t="shared" si="420"/>
        <v>#DIV/0!</v>
      </c>
      <c r="F3258" s="723">
        <v>1</v>
      </c>
      <c r="G3258" s="723"/>
      <c r="H3258" s="1258">
        <f t="shared" si="421"/>
        <v>0</v>
      </c>
      <c r="I3258" s="1259">
        <f t="shared" si="423"/>
        <v>1</v>
      </c>
      <c r="J3258" s="695">
        <f t="shared" si="423"/>
        <v>0</v>
      </c>
      <c r="K3258" s="650">
        <f t="shared" si="422"/>
        <v>0</v>
      </c>
    </row>
    <row r="3259" spans="1:11" ht="24.95" customHeight="1">
      <c r="A3259" s="456" t="s">
        <v>5978</v>
      </c>
      <c r="B3259" s="1387" t="s">
        <v>5979</v>
      </c>
      <c r="C3259" s="1374"/>
      <c r="D3259" s="1374"/>
      <c r="E3259" s="1258" t="e">
        <f t="shared" si="420"/>
        <v>#DIV/0!</v>
      </c>
      <c r="F3259" s="723"/>
      <c r="G3259" s="723"/>
      <c r="H3259" s="1258" t="e">
        <f t="shared" si="421"/>
        <v>#DIV/0!</v>
      </c>
      <c r="I3259" s="1259">
        <f t="shared" si="423"/>
        <v>0</v>
      </c>
      <c r="J3259" s="695">
        <f t="shared" si="423"/>
        <v>0</v>
      </c>
      <c r="K3259" s="650" t="e">
        <f t="shared" si="422"/>
        <v>#DIV/0!</v>
      </c>
    </row>
    <row r="3260" spans="1:11" ht="24.95" customHeight="1">
      <c r="A3260" s="456" t="s">
        <v>5980</v>
      </c>
      <c r="B3260" s="1387" t="s">
        <v>5981</v>
      </c>
      <c r="C3260" s="1374"/>
      <c r="D3260" s="1374"/>
      <c r="E3260" s="1258" t="e">
        <f t="shared" si="420"/>
        <v>#DIV/0!</v>
      </c>
      <c r="F3260" s="723"/>
      <c r="G3260" s="723"/>
      <c r="H3260" s="1258" t="e">
        <f t="shared" si="421"/>
        <v>#DIV/0!</v>
      </c>
      <c r="I3260" s="1259">
        <f t="shared" si="423"/>
        <v>0</v>
      </c>
      <c r="J3260" s="695">
        <f t="shared" si="423"/>
        <v>0</v>
      </c>
      <c r="K3260" s="650" t="e">
        <f t="shared" si="422"/>
        <v>#DIV/0!</v>
      </c>
    </row>
    <row r="3261" spans="1:11" ht="24.95" customHeight="1">
      <c r="A3261" s="456" t="s">
        <v>5982</v>
      </c>
      <c r="B3261" s="1378" t="s">
        <v>5983</v>
      </c>
      <c r="C3261" s="1374"/>
      <c r="D3261" s="1374"/>
      <c r="E3261" s="1258" t="e">
        <f t="shared" si="420"/>
        <v>#DIV/0!</v>
      </c>
      <c r="F3261" s="723"/>
      <c r="G3261" s="723"/>
      <c r="H3261" s="1258" t="e">
        <f t="shared" si="421"/>
        <v>#DIV/0!</v>
      </c>
      <c r="I3261" s="1259">
        <f t="shared" si="423"/>
        <v>0</v>
      </c>
      <c r="J3261" s="695">
        <f t="shared" si="423"/>
        <v>0</v>
      </c>
      <c r="K3261" s="650" t="e">
        <f t="shared" si="422"/>
        <v>#DIV/0!</v>
      </c>
    </row>
    <row r="3262" spans="1:11" ht="24.95" customHeight="1">
      <c r="A3262" s="456" t="s">
        <v>5984</v>
      </c>
      <c r="B3262" s="1225" t="s">
        <v>5985</v>
      </c>
      <c r="C3262" s="1374"/>
      <c r="D3262" s="1374"/>
      <c r="E3262" s="1258" t="e">
        <f t="shared" si="420"/>
        <v>#DIV/0!</v>
      </c>
      <c r="F3262" s="723"/>
      <c r="G3262" s="723"/>
      <c r="H3262" s="1258" t="e">
        <f t="shared" si="421"/>
        <v>#DIV/0!</v>
      </c>
      <c r="I3262" s="1259">
        <f t="shared" si="423"/>
        <v>0</v>
      </c>
      <c r="J3262" s="695">
        <f t="shared" si="423"/>
        <v>0</v>
      </c>
      <c r="K3262" s="650" t="e">
        <f t="shared" si="422"/>
        <v>#DIV/0!</v>
      </c>
    </row>
    <row r="3263" spans="1:11" ht="24.95" customHeight="1">
      <c r="A3263" s="456" t="s">
        <v>5986</v>
      </c>
      <c r="B3263" s="1378" t="s">
        <v>5987</v>
      </c>
      <c r="C3263" s="1374"/>
      <c r="D3263" s="1374"/>
      <c r="E3263" s="1258" t="e">
        <f t="shared" si="420"/>
        <v>#DIV/0!</v>
      </c>
      <c r="F3263" s="723">
        <v>2</v>
      </c>
      <c r="G3263" s="723"/>
      <c r="H3263" s="1258">
        <f t="shared" si="421"/>
        <v>0</v>
      </c>
      <c r="I3263" s="1259">
        <f t="shared" si="423"/>
        <v>2</v>
      </c>
      <c r="J3263" s="695">
        <f t="shared" si="423"/>
        <v>0</v>
      </c>
      <c r="K3263" s="650">
        <f t="shared" si="422"/>
        <v>0</v>
      </c>
    </row>
    <row r="3264" spans="1:11" ht="24.95" customHeight="1">
      <c r="A3264" s="456" t="s">
        <v>5988</v>
      </c>
      <c r="B3264" s="1378" t="s">
        <v>5989</v>
      </c>
      <c r="C3264" s="1374"/>
      <c r="D3264" s="1374"/>
      <c r="E3264" s="1258" t="e">
        <f t="shared" si="420"/>
        <v>#DIV/0!</v>
      </c>
      <c r="F3264" s="723">
        <v>2</v>
      </c>
      <c r="G3264" s="723"/>
      <c r="H3264" s="1258">
        <f t="shared" si="421"/>
        <v>0</v>
      </c>
      <c r="I3264" s="1259">
        <f t="shared" si="423"/>
        <v>2</v>
      </c>
      <c r="J3264" s="695">
        <f t="shared" si="423"/>
        <v>0</v>
      </c>
      <c r="K3264" s="650">
        <f t="shared" si="422"/>
        <v>0</v>
      </c>
    </row>
    <row r="3265" spans="1:11" ht="24.95" customHeight="1">
      <c r="A3265" s="456" t="s">
        <v>5990</v>
      </c>
      <c r="B3265" s="1225" t="s">
        <v>5991</v>
      </c>
      <c r="C3265" s="1374"/>
      <c r="D3265" s="1374"/>
      <c r="E3265" s="1258" t="e">
        <f t="shared" si="420"/>
        <v>#DIV/0!</v>
      </c>
      <c r="F3265" s="723">
        <v>1</v>
      </c>
      <c r="G3265" s="723"/>
      <c r="H3265" s="1258">
        <f t="shared" si="421"/>
        <v>0</v>
      </c>
      <c r="I3265" s="1259">
        <f t="shared" ref="I3265:J3301" si="424">+C3265+F3265</f>
        <v>1</v>
      </c>
      <c r="J3265" s="695">
        <f t="shared" si="424"/>
        <v>0</v>
      </c>
      <c r="K3265" s="650">
        <f t="shared" si="422"/>
        <v>0</v>
      </c>
    </row>
    <row r="3266" spans="1:11" ht="24.95" customHeight="1">
      <c r="A3266" s="456" t="s">
        <v>5992</v>
      </c>
      <c r="B3266" s="1225" t="s">
        <v>5993</v>
      </c>
      <c r="C3266" s="1374"/>
      <c r="D3266" s="1374"/>
      <c r="E3266" s="1258" t="e">
        <f t="shared" si="420"/>
        <v>#DIV/0!</v>
      </c>
      <c r="F3266" s="723">
        <v>1</v>
      </c>
      <c r="G3266" s="723"/>
      <c r="H3266" s="1258">
        <f t="shared" si="421"/>
        <v>0</v>
      </c>
      <c r="I3266" s="1259">
        <f t="shared" si="424"/>
        <v>1</v>
      </c>
      <c r="J3266" s="695">
        <f t="shared" si="424"/>
        <v>0</v>
      </c>
      <c r="K3266" s="650">
        <f t="shared" si="422"/>
        <v>0</v>
      </c>
    </row>
    <row r="3267" spans="1:11" ht="24.95" customHeight="1">
      <c r="A3267" s="456" t="s">
        <v>5994</v>
      </c>
      <c r="B3267" s="1225" t="s">
        <v>5995</v>
      </c>
      <c r="C3267" s="1374"/>
      <c r="D3267" s="1374"/>
      <c r="E3267" s="1258" t="e">
        <f t="shared" si="420"/>
        <v>#DIV/0!</v>
      </c>
      <c r="F3267" s="723">
        <v>2</v>
      </c>
      <c r="G3267" s="723"/>
      <c r="H3267" s="1258">
        <f t="shared" si="421"/>
        <v>0</v>
      </c>
      <c r="I3267" s="1259">
        <f t="shared" si="424"/>
        <v>2</v>
      </c>
      <c r="J3267" s="695">
        <f t="shared" si="424"/>
        <v>0</v>
      </c>
      <c r="K3267" s="650">
        <f t="shared" si="422"/>
        <v>0</v>
      </c>
    </row>
    <row r="3268" spans="1:11" ht="24.95" customHeight="1">
      <c r="A3268" s="456" t="s">
        <v>5996</v>
      </c>
      <c r="B3268" s="1225" t="s">
        <v>5997</v>
      </c>
      <c r="C3268" s="1374"/>
      <c r="D3268" s="1374"/>
      <c r="E3268" s="1258" t="e">
        <f t="shared" si="420"/>
        <v>#DIV/0!</v>
      </c>
      <c r="F3268" s="723">
        <v>1</v>
      </c>
      <c r="G3268" s="723"/>
      <c r="H3268" s="1258">
        <f t="shared" si="421"/>
        <v>0</v>
      </c>
      <c r="I3268" s="1259">
        <f t="shared" si="424"/>
        <v>1</v>
      </c>
      <c r="J3268" s="695">
        <f t="shared" si="424"/>
        <v>0</v>
      </c>
      <c r="K3268" s="650">
        <f t="shared" si="422"/>
        <v>0</v>
      </c>
    </row>
    <row r="3269" spans="1:11" ht="24.95" customHeight="1">
      <c r="A3269" s="456" t="s">
        <v>5998</v>
      </c>
      <c r="B3269" s="1378" t="s">
        <v>5999</v>
      </c>
      <c r="C3269" s="1374"/>
      <c r="D3269" s="1374"/>
      <c r="E3269" s="1258" t="e">
        <f t="shared" si="420"/>
        <v>#DIV/0!</v>
      </c>
      <c r="F3269" s="723">
        <v>3</v>
      </c>
      <c r="G3269" s="723"/>
      <c r="H3269" s="1258">
        <f t="shared" si="421"/>
        <v>0</v>
      </c>
      <c r="I3269" s="1259">
        <f t="shared" si="424"/>
        <v>3</v>
      </c>
      <c r="J3269" s="695">
        <f t="shared" si="424"/>
        <v>0</v>
      </c>
      <c r="K3269" s="650">
        <f t="shared" si="422"/>
        <v>0</v>
      </c>
    </row>
    <row r="3270" spans="1:11" ht="24.95" customHeight="1">
      <c r="A3270" s="456" t="s">
        <v>6000</v>
      </c>
      <c r="B3270" s="1378" t="s">
        <v>6001</v>
      </c>
      <c r="C3270" s="1374"/>
      <c r="D3270" s="1374"/>
      <c r="E3270" s="1258" t="e">
        <f t="shared" si="420"/>
        <v>#DIV/0!</v>
      </c>
      <c r="F3270" s="723">
        <v>20</v>
      </c>
      <c r="G3270" s="723">
        <v>4</v>
      </c>
      <c r="H3270" s="1258">
        <f t="shared" si="421"/>
        <v>0.2</v>
      </c>
      <c r="I3270" s="1259">
        <f t="shared" si="424"/>
        <v>20</v>
      </c>
      <c r="J3270" s="695">
        <f t="shared" si="424"/>
        <v>4</v>
      </c>
      <c r="K3270" s="650">
        <f t="shared" si="422"/>
        <v>0.2</v>
      </c>
    </row>
    <row r="3271" spans="1:11" ht="24.95" customHeight="1">
      <c r="A3271" s="456" t="s">
        <v>6002</v>
      </c>
      <c r="B3271" s="1387" t="s">
        <v>6003</v>
      </c>
      <c r="C3271" s="1374"/>
      <c r="D3271" s="1374"/>
      <c r="E3271" s="1258" t="e">
        <f t="shared" si="420"/>
        <v>#DIV/0!</v>
      </c>
      <c r="F3271" s="723"/>
      <c r="G3271" s="723"/>
      <c r="H3271" s="1258" t="e">
        <f t="shared" si="421"/>
        <v>#DIV/0!</v>
      </c>
      <c r="I3271" s="1259">
        <f t="shared" si="424"/>
        <v>0</v>
      </c>
      <c r="J3271" s="695">
        <f t="shared" si="424"/>
        <v>0</v>
      </c>
      <c r="K3271" s="650" t="e">
        <f t="shared" si="422"/>
        <v>#DIV/0!</v>
      </c>
    </row>
    <row r="3272" spans="1:11" ht="24.95" customHeight="1">
      <c r="A3272" s="456" t="s">
        <v>6004</v>
      </c>
      <c r="B3272" s="1387" t="s">
        <v>6005</v>
      </c>
      <c r="C3272" s="1374"/>
      <c r="D3272" s="1374"/>
      <c r="E3272" s="1258" t="e">
        <f t="shared" si="420"/>
        <v>#DIV/0!</v>
      </c>
      <c r="F3272" s="723"/>
      <c r="G3272" s="723"/>
      <c r="H3272" s="1258" t="e">
        <f t="shared" si="421"/>
        <v>#DIV/0!</v>
      </c>
      <c r="I3272" s="1259">
        <f t="shared" si="424"/>
        <v>0</v>
      </c>
      <c r="J3272" s="695">
        <f t="shared" si="424"/>
        <v>0</v>
      </c>
      <c r="K3272" s="650" t="e">
        <f t="shared" si="422"/>
        <v>#DIV/0!</v>
      </c>
    </row>
    <row r="3273" spans="1:11" ht="24.95" customHeight="1">
      <c r="A3273" s="1235" t="s">
        <v>6006</v>
      </c>
      <c r="B3273" s="1379" t="s">
        <v>6007</v>
      </c>
      <c r="C3273" s="1374"/>
      <c r="D3273" s="1374"/>
      <c r="E3273" s="1258" t="e">
        <f t="shared" si="420"/>
        <v>#DIV/0!</v>
      </c>
      <c r="F3273" s="723"/>
      <c r="G3273" s="723"/>
      <c r="H3273" s="1258" t="e">
        <f t="shared" si="421"/>
        <v>#DIV/0!</v>
      </c>
      <c r="I3273" s="1259">
        <f t="shared" si="424"/>
        <v>0</v>
      </c>
      <c r="J3273" s="695">
        <f t="shared" si="424"/>
        <v>0</v>
      </c>
      <c r="K3273" s="650" t="e">
        <f t="shared" si="422"/>
        <v>#DIV/0!</v>
      </c>
    </row>
    <row r="3274" spans="1:11" ht="24.95" customHeight="1">
      <c r="A3274" s="456" t="s">
        <v>5462</v>
      </c>
      <c r="B3274" s="1225" t="s">
        <v>5463</v>
      </c>
      <c r="C3274" s="1374"/>
      <c r="D3274" s="1374"/>
      <c r="E3274" s="1258" t="e">
        <f t="shared" si="420"/>
        <v>#DIV/0!</v>
      </c>
      <c r="F3274" s="724">
        <v>0</v>
      </c>
      <c r="G3274" s="724"/>
      <c r="H3274" s="1258" t="e">
        <f t="shared" si="421"/>
        <v>#DIV/0!</v>
      </c>
      <c r="I3274" s="1259">
        <f t="shared" si="424"/>
        <v>0</v>
      </c>
      <c r="J3274" s="695">
        <f t="shared" si="424"/>
        <v>0</v>
      </c>
      <c r="K3274" s="650" t="e">
        <f t="shared" si="422"/>
        <v>#DIV/0!</v>
      </c>
    </row>
    <row r="3275" spans="1:11" ht="24.95" customHeight="1">
      <c r="A3275" s="456" t="s">
        <v>6008</v>
      </c>
      <c r="B3275" s="1388" t="s">
        <v>6009</v>
      </c>
      <c r="C3275" s="1374"/>
      <c r="D3275" s="1374"/>
      <c r="E3275" s="1258" t="e">
        <f t="shared" si="420"/>
        <v>#DIV/0!</v>
      </c>
      <c r="F3275" s="723">
        <v>3</v>
      </c>
      <c r="G3275" s="723">
        <v>1</v>
      </c>
      <c r="H3275" s="1258">
        <f t="shared" si="421"/>
        <v>0.33333333333333331</v>
      </c>
      <c r="I3275" s="1259">
        <f t="shared" si="424"/>
        <v>3</v>
      </c>
      <c r="J3275" s="695">
        <f t="shared" si="424"/>
        <v>1</v>
      </c>
      <c r="K3275" s="650">
        <f t="shared" si="422"/>
        <v>0.33333333333333331</v>
      </c>
    </row>
    <row r="3276" spans="1:11" ht="24.95" customHeight="1">
      <c r="A3276" s="456" t="s">
        <v>6010</v>
      </c>
      <c r="B3276" s="1387" t="s">
        <v>6011</v>
      </c>
      <c r="C3276" s="1374"/>
      <c r="D3276" s="1374"/>
      <c r="E3276" s="1258" t="e">
        <f t="shared" si="420"/>
        <v>#DIV/0!</v>
      </c>
      <c r="F3276" s="723"/>
      <c r="G3276" s="723"/>
      <c r="H3276" s="1258" t="e">
        <f t="shared" si="421"/>
        <v>#DIV/0!</v>
      </c>
      <c r="I3276" s="1259">
        <f t="shared" si="424"/>
        <v>0</v>
      </c>
      <c r="J3276" s="695">
        <f t="shared" si="424"/>
        <v>0</v>
      </c>
      <c r="K3276" s="650" t="e">
        <f t="shared" si="422"/>
        <v>#DIV/0!</v>
      </c>
    </row>
    <row r="3277" spans="1:11" ht="24.95" customHeight="1">
      <c r="A3277" s="456" t="s">
        <v>6012</v>
      </c>
      <c r="B3277" s="1387" t="s">
        <v>6013</v>
      </c>
      <c r="C3277" s="1374"/>
      <c r="D3277" s="1374"/>
      <c r="E3277" s="1258" t="e">
        <f t="shared" si="420"/>
        <v>#DIV/0!</v>
      </c>
      <c r="F3277" s="723"/>
      <c r="G3277" s="723"/>
      <c r="H3277" s="1258" t="e">
        <f t="shared" si="421"/>
        <v>#DIV/0!</v>
      </c>
      <c r="I3277" s="1259">
        <f t="shared" si="424"/>
        <v>0</v>
      </c>
      <c r="J3277" s="695">
        <f t="shared" si="424"/>
        <v>0</v>
      </c>
      <c r="K3277" s="650" t="e">
        <f t="shared" si="422"/>
        <v>#DIV/0!</v>
      </c>
    </row>
    <row r="3278" spans="1:11" ht="24.95" customHeight="1">
      <c r="A3278" s="456" t="s">
        <v>6014</v>
      </c>
      <c r="B3278" s="1387" t="s">
        <v>6015</v>
      </c>
      <c r="C3278" s="1374"/>
      <c r="D3278" s="1374"/>
      <c r="E3278" s="1258" t="e">
        <f t="shared" si="420"/>
        <v>#DIV/0!</v>
      </c>
      <c r="F3278" s="723"/>
      <c r="G3278" s="723"/>
      <c r="H3278" s="1258" t="e">
        <f t="shared" si="421"/>
        <v>#DIV/0!</v>
      </c>
      <c r="I3278" s="1259">
        <f t="shared" si="424"/>
        <v>0</v>
      </c>
      <c r="J3278" s="695">
        <f t="shared" si="424"/>
        <v>0</v>
      </c>
      <c r="K3278" s="650" t="e">
        <f t="shared" si="422"/>
        <v>#DIV/0!</v>
      </c>
    </row>
    <row r="3279" spans="1:11" ht="24.95" customHeight="1">
      <c r="A3279" s="1325" t="s">
        <v>6016</v>
      </c>
      <c r="B3279" s="1378" t="s">
        <v>6017</v>
      </c>
      <c r="C3279" s="1374"/>
      <c r="D3279" s="1374"/>
      <c r="E3279" s="1258" t="e">
        <f t="shared" si="420"/>
        <v>#DIV/0!</v>
      </c>
      <c r="F3279" s="723"/>
      <c r="G3279" s="723"/>
      <c r="H3279" s="1258" t="e">
        <f t="shared" si="421"/>
        <v>#DIV/0!</v>
      </c>
      <c r="I3279" s="1259">
        <f t="shared" si="424"/>
        <v>0</v>
      </c>
      <c r="J3279" s="695">
        <f t="shared" si="424"/>
        <v>0</v>
      </c>
      <c r="K3279" s="650" t="e">
        <f t="shared" si="422"/>
        <v>#DIV/0!</v>
      </c>
    </row>
    <row r="3280" spans="1:11" ht="24.95" customHeight="1">
      <c r="A3280" s="1234" t="s">
        <v>6018</v>
      </c>
      <c r="B3280" s="1386" t="s">
        <v>6019</v>
      </c>
      <c r="C3280" s="1374"/>
      <c r="D3280" s="1374"/>
      <c r="E3280" s="1258" t="e">
        <f t="shared" si="420"/>
        <v>#DIV/0!</v>
      </c>
      <c r="F3280" s="723">
        <v>1</v>
      </c>
      <c r="G3280" s="723">
        <v>1</v>
      </c>
      <c r="H3280" s="1258">
        <f t="shared" si="421"/>
        <v>1</v>
      </c>
      <c r="I3280" s="1259">
        <f t="shared" si="424"/>
        <v>1</v>
      </c>
      <c r="J3280" s="695">
        <f t="shared" si="424"/>
        <v>1</v>
      </c>
      <c r="K3280" s="650">
        <f t="shared" si="422"/>
        <v>1</v>
      </c>
    </row>
    <row r="3281" spans="1:11" ht="24.95" customHeight="1">
      <c r="A3281" s="1234" t="s">
        <v>3882</v>
      </c>
      <c r="B3281" s="1386" t="s">
        <v>6020</v>
      </c>
      <c r="C3281" s="1374">
        <v>20</v>
      </c>
      <c r="D3281" s="1374"/>
      <c r="E3281" s="1258">
        <f t="shared" si="420"/>
        <v>0</v>
      </c>
      <c r="F3281" s="723">
        <v>5</v>
      </c>
      <c r="G3281" s="723"/>
      <c r="H3281" s="1258">
        <f t="shared" si="421"/>
        <v>0</v>
      </c>
      <c r="I3281" s="1259">
        <f t="shared" si="424"/>
        <v>25</v>
      </c>
      <c r="J3281" s="695">
        <f t="shared" si="424"/>
        <v>0</v>
      </c>
      <c r="K3281" s="650">
        <f t="shared" si="422"/>
        <v>0</v>
      </c>
    </row>
    <row r="3282" spans="1:11" ht="24.95" customHeight="1">
      <c r="A3282" s="1234" t="s">
        <v>6021</v>
      </c>
      <c r="B3282" s="1386" t="s">
        <v>6022</v>
      </c>
      <c r="C3282" s="1374"/>
      <c r="D3282" s="1374"/>
      <c r="E3282" s="1258" t="e">
        <f t="shared" si="420"/>
        <v>#DIV/0!</v>
      </c>
      <c r="F3282" s="723">
        <v>15</v>
      </c>
      <c r="G3282" s="723">
        <v>4</v>
      </c>
      <c r="H3282" s="1258">
        <f t="shared" si="421"/>
        <v>0.26666666666666666</v>
      </c>
      <c r="I3282" s="1259">
        <f t="shared" si="424"/>
        <v>15</v>
      </c>
      <c r="J3282" s="695">
        <f t="shared" si="424"/>
        <v>4</v>
      </c>
      <c r="K3282" s="650">
        <f t="shared" si="422"/>
        <v>0.26666666666666666</v>
      </c>
    </row>
    <row r="3283" spans="1:11" ht="24.95" customHeight="1">
      <c r="A3283" s="1234" t="s">
        <v>6023</v>
      </c>
      <c r="B3283" s="1386" t="s">
        <v>6024</v>
      </c>
      <c r="C3283" s="1374"/>
      <c r="D3283" s="1374"/>
      <c r="E3283" s="1258" t="e">
        <f t="shared" si="420"/>
        <v>#DIV/0!</v>
      </c>
      <c r="F3283" s="723">
        <v>2</v>
      </c>
      <c r="G3283" s="723"/>
      <c r="H3283" s="1258">
        <f t="shared" si="421"/>
        <v>0</v>
      </c>
      <c r="I3283" s="1259">
        <f t="shared" si="424"/>
        <v>2</v>
      </c>
      <c r="J3283" s="695">
        <f t="shared" si="424"/>
        <v>0</v>
      </c>
      <c r="K3283" s="650">
        <f t="shared" si="422"/>
        <v>0</v>
      </c>
    </row>
    <row r="3284" spans="1:11" ht="24.95" customHeight="1">
      <c r="A3284" s="1234" t="s">
        <v>6025</v>
      </c>
      <c r="B3284" s="1386" t="s">
        <v>6026</v>
      </c>
      <c r="C3284" s="1374"/>
      <c r="D3284" s="1374"/>
      <c r="E3284" s="1258" t="e">
        <f t="shared" ref="E3284:E3323" si="425">+D3284/C3284</f>
        <v>#DIV/0!</v>
      </c>
      <c r="F3284" s="723">
        <v>15</v>
      </c>
      <c r="G3284" s="723">
        <v>3</v>
      </c>
      <c r="H3284" s="1258">
        <f t="shared" ref="H3284:H3323" si="426">+G3284/F3284</f>
        <v>0.2</v>
      </c>
      <c r="I3284" s="1259">
        <f t="shared" si="424"/>
        <v>15</v>
      </c>
      <c r="J3284" s="695">
        <f t="shared" si="424"/>
        <v>3</v>
      </c>
      <c r="K3284" s="650">
        <f t="shared" ref="K3284:K3323" si="427">+J3284/I3284</f>
        <v>0.2</v>
      </c>
    </row>
    <row r="3285" spans="1:11" ht="24.95" customHeight="1">
      <c r="A3285" s="1234" t="s">
        <v>6027</v>
      </c>
      <c r="B3285" s="1386" t="s">
        <v>6028</v>
      </c>
      <c r="C3285" s="1374"/>
      <c r="D3285" s="1374"/>
      <c r="E3285" s="1258" t="e">
        <f t="shared" si="425"/>
        <v>#DIV/0!</v>
      </c>
      <c r="F3285" s="723">
        <v>4</v>
      </c>
      <c r="G3285" s="723">
        <v>1</v>
      </c>
      <c r="H3285" s="1258">
        <f t="shared" si="426"/>
        <v>0.25</v>
      </c>
      <c r="I3285" s="1259">
        <f t="shared" si="424"/>
        <v>4</v>
      </c>
      <c r="J3285" s="695">
        <f t="shared" si="424"/>
        <v>1</v>
      </c>
      <c r="K3285" s="650">
        <f t="shared" si="427"/>
        <v>0.25</v>
      </c>
    </row>
    <row r="3286" spans="1:11" ht="24.95" customHeight="1">
      <c r="A3286" s="1234" t="s">
        <v>6029</v>
      </c>
      <c r="B3286" s="1386" t="s">
        <v>6030</v>
      </c>
      <c r="C3286" s="1374"/>
      <c r="D3286" s="1374"/>
      <c r="E3286" s="1258" t="e">
        <f t="shared" si="425"/>
        <v>#DIV/0!</v>
      </c>
      <c r="F3286" s="723">
        <v>35</v>
      </c>
      <c r="G3286" s="723">
        <v>18</v>
      </c>
      <c r="H3286" s="1258">
        <f t="shared" si="426"/>
        <v>0.51428571428571423</v>
      </c>
      <c r="I3286" s="1259">
        <f t="shared" si="424"/>
        <v>35</v>
      </c>
      <c r="J3286" s="695">
        <f t="shared" si="424"/>
        <v>18</v>
      </c>
      <c r="K3286" s="650">
        <f t="shared" si="427"/>
        <v>0.51428571428571423</v>
      </c>
    </row>
    <row r="3287" spans="1:11" ht="24.95" customHeight="1">
      <c r="A3287" s="1234" t="s">
        <v>6031</v>
      </c>
      <c r="B3287" s="1386" t="s">
        <v>6032</v>
      </c>
      <c r="C3287" s="1374"/>
      <c r="D3287" s="1374"/>
      <c r="E3287" s="1258" t="e">
        <f t="shared" si="425"/>
        <v>#DIV/0!</v>
      </c>
      <c r="F3287" s="723">
        <v>5</v>
      </c>
      <c r="G3287" s="723">
        <v>2</v>
      </c>
      <c r="H3287" s="1258">
        <f t="shared" si="426"/>
        <v>0.4</v>
      </c>
      <c r="I3287" s="1259">
        <f t="shared" si="424"/>
        <v>5</v>
      </c>
      <c r="J3287" s="695">
        <f t="shared" si="424"/>
        <v>2</v>
      </c>
      <c r="K3287" s="650">
        <f t="shared" si="427"/>
        <v>0.4</v>
      </c>
    </row>
    <row r="3288" spans="1:11" ht="24.95" customHeight="1">
      <c r="A3288" s="1234" t="s">
        <v>6033</v>
      </c>
      <c r="B3288" s="1386" t="s">
        <v>6034</v>
      </c>
      <c r="C3288" s="1374"/>
      <c r="D3288" s="1374"/>
      <c r="E3288" s="1258" t="e">
        <f t="shared" si="425"/>
        <v>#DIV/0!</v>
      </c>
      <c r="F3288" s="723">
        <v>5</v>
      </c>
      <c r="G3288" s="723"/>
      <c r="H3288" s="1258">
        <f t="shared" si="426"/>
        <v>0</v>
      </c>
      <c r="I3288" s="1259">
        <f t="shared" si="424"/>
        <v>5</v>
      </c>
      <c r="J3288" s="695">
        <f t="shared" si="424"/>
        <v>0</v>
      </c>
      <c r="K3288" s="650">
        <f t="shared" si="427"/>
        <v>0</v>
      </c>
    </row>
    <row r="3289" spans="1:11" ht="24.95" customHeight="1">
      <c r="A3289" s="1234" t="s">
        <v>6035</v>
      </c>
      <c r="B3289" s="1386" t="s">
        <v>6036</v>
      </c>
      <c r="C3289" s="1374"/>
      <c r="D3289" s="1374"/>
      <c r="E3289" s="1258" t="e">
        <f t="shared" si="425"/>
        <v>#DIV/0!</v>
      </c>
      <c r="F3289" s="723">
        <v>0</v>
      </c>
      <c r="G3289" s="723"/>
      <c r="H3289" s="1258" t="e">
        <f t="shared" si="426"/>
        <v>#DIV/0!</v>
      </c>
      <c r="I3289" s="1259">
        <f t="shared" si="424"/>
        <v>0</v>
      </c>
      <c r="J3289" s="695">
        <f t="shared" si="424"/>
        <v>0</v>
      </c>
      <c r="K3289" s="650" t="e">
        <f t="shared" si="427"/>
        <v>#DIV/0!</v>
      </c>
    </row>
    <row r="3290" spans="1:11" ht="24.95" customHeight="1">
      <c r="A3290" s="1234" t="s">
        <v>6037</v>
      </c>
      <c r="B3290" s="1386" t="s">
        <v>6038</v>
      </c>
      <c r="C3290" s="1374"/>
      <c r="D3290" s="1374"/>
      <c r="E3290" s="1258" t="e">
        <f t="shared" si="425"/>
        <v>#DIV/0!</v>
      </c>
      <c r="F3290" s="723">
        <v>5</v>
      </c>
      <c r="G3290" s="723"/>
      <c r="H3290" s="1258">
        <f t="shared" si="426"/>
        <v>0</v>
      </c>
      <c r="I3290" s="1259">
        <f t="shared" si="424"/>
        <v>5</v>
      </c>
      <c r="J3290" s="695">
        <f t="shared" si="424"/>
        <v>0</v>
      </c>
      <c r="K3290" s="650">
        <f t="shared" si="427"/>
        <v>0</v>
      </c>
    </row>
    <row r="3291" spans="1:11" ht="24.95" customHeight="1">
      <c r="A3291" s="1234" t="s">
        <v>6039</v>
      </c>
      <c r="B3291" s="1386" t="s">
        <v>6040</v>
      </c>
      <c r="C3291" s="1389"/>
      <c r="D3291" s="1389"/>
      <c r="E3291" s="1258" t="e">
        <f t="shared" si="425"/>
        <v>#DIV/0!</v>
      </c>
      <c r="F3291" s="1390">
        <v>3</v>
      </c>
      <c r="G3291" s="1390"/>
      <c r="H3291" s="1258">
        <f t="shared" si="426"/>
        <v>0</v>
      </c>
      <c r="I3291" s="1259">
        <f t="shared" si="424"/>
        <v>3</v>
      </c>
      <c r="J3291" s="695">
        <f t="shared" si="424"/>
        <v>0</v>
      </c>
      <c r="K3291" s="650">
        <f t="shared" si="427"/>
        <v>0</v>
      </c>
    </row>
    <row r="3292" spans="1:11" ht="24.95" customHeight="1">
      <c r="A3292" s="1234" t="s">
        <v>3418</v>
      </c>
      <c r="B3292" s="1386" t="s">
        <v>6041</v>
      </c>
      <c r="C3292" s="1389"/>
      <c r="D3292" s="1389"/>
      <c r="E3292" s="1258" t="e">
        <f t="shared" si="425"/>
        <v>#DIV/0!</v>
      </c>
      <c r="F3292" s="929">
        <v>3</v>
      </c>
      <c r="G3292" s="929"/>
      <c r="H3292" s="1258">
        <f t="shared" si="426"/>
        <v>0</v>
      </c>
      <c r="I3292" s="1259">
        <f t="shared" si="424"/>
        <v>3</v>
      </c>
      <c r="J3292" s="695">
        <f t="shared" si="424"/>
        <v>0</v>
      </c>
      <c r="K3292" s="650">
        <f t="shared" si="427"/>
        <v>0</v>
      </c>
    </row>
    <row r="3293" spans="1:11" ht="24.95" customHeight="1">
      <c r="A3293" s="1234" t="s">
        <v>6042</v>
      </c>
      <c r="B3293" s="1386" t="s">
        <v>6043</v>
      </c>
      <c r="C3293" s="1389"/>
      <c r="D3293" s="1389"/>
      <c r="E3293" s="1258" t="e">
        <f t="shared" si="425"/>
        <v>#DIV/0!</v>
      </c>
      <c r="F3293" s="1390">
        <v>3</v>
      </c>
      <c r="G3293" s="1390"/>
      <c r="H3293" s="1258">
        <f t="shared" si="426"/>
        <v>0</v>
      </c>
      <c r="I3293" s="1259">
        <f t="shared" si="424"/>
        <v>3</v>
      </c>
      <c r="J3293" s="695">
        <f t="shared" si="424"/>
        <v>0</v>
      </c>
      <c r="K3293" s="650">
        <f t="shared" si="427"/>
        <v>0</v>
      </c>
    </row>
    <row r="3294" spans="1:11" ht="24.95" customHeight="1">
      <c r="A3294" s="1234" t="s">
        <v>6044</v>
      </c>
      <c r="B3294" s="1386" t="s">
        <v>6045</v>
      </c>
      <c r="C3294" s="1389"/>
      <c r="D3294" s="1389"/>
      <c r="E3294" s="1258" t="e">
        <f t="shared" si="425"/>
        <v>#DIV/0!</v>
      </c>
      <c r="F3294" s="1390">
        <v>3</v>
      </c>
      <c r="G3294" s="1390"/>
      <c r="H3294" s="1258">
        <f t="shared" si="426"/>
        <v>0</v>
      </c>
      <c r="I3294" s="1259">
        <f t="shared" si="424"/>
        <v>3</v>
      </c>
      <c r="J3294" s="695">
        <f t="shared" si="424"/>
        <v>0</v>
      </c>
      <c r="K3294" s="650">
        <f t="shared" si="427"/>
        <v>0</v>
      </c>
    </row>
    <row r="3295" spans="1:11" ht="24.95" customHeight="1">
      <c r="A3295" s="1234" t="s">
        <v>6046</v>
      </c>
      <c r="B3295" s="1386" t="s">
        <v>6047</v>
      </c>
      <c r="C3295" s="1389"/>
      <c r="D3295" s="1389"/>
      <c r="E3295" s="1258" t="e">
        <f t="shared" si="425"/>
        <v>#DIV/0!</v>
      </c>
      <c r="F3295" s="1390">
        <v>2</v>
      </c>
      <c r="G3295" s="1390"/>
      <c r="H3295" s="1258">
        <f t="shared" si="426"/>
        <v>0</v>
      </c>
      <c r="I3295" s="1259">
        <f t="shared" si="424"/>
        <v>2</v>
      </c>
      <c r="J3295" s="695">
        <f t="shared" si="424"/>
        <v>0</v>
      </c>
      <c r="K3295" s="650">
        <f t="shared" si="427"/>
        <v>0</v>
      </c>
    </row>
    <row r="3296" spans="1:11" ht="24.95" customHeight="1">
      <c r="A3296" s="1234" t="s">
        <v>6048</v>
      </c>
      <c r="B3296" s="1386" t="s">
        <v>6049</v>
      </c>
      <c r="C3296" s="1389"/>
      <c r="D3296" s="1389"/>
      <c r="E3296" s="1258" t="e">
        <f t="shared" si="425"/>
        <v>#DIV/0!</v>
      </c>
      <c r="F3296" s="1390">
        <v>3</v>
      </c>
      <c r="G3296" s="1390"/>
      <c r="H3296" s="1258">
        <f t="shared" si="426"/>
        <v>0</v>
      </c>
      <c r="I3296" s="1259">
        <f t="shared" si="424"/>
        <v>3</v>
      </c>
      <c r="J3296" s="695">
        <f t="shared" si="424"/>
        <v>0</v>
      </c>
      <c r="K3296" s="650">
        <f t="shared" si="427"/>
        <v>0</v>
      </c>
    </row>
    <row r="3297" spans="1:11" ht="24.95" customHeight="1">
      <c r="A3297" s="1234" t="s">
        <v>6050</v>
      </c>
      <c r="B3297" s="1386" t="s">
        <v>6051</v>
      </c>
      <c r="C3297" s="1389"/>
      <c r="D3297" s="1389"/>
      <c r="E3297" s="1258" t="e">
        <f t="shared" si="425"/>
        <v>#DIV/0!</v>
      </c>
      <c r="F3297" s="1390">
        <v>2</v>
      </c>
      <c r="G3297" s="1390"/>
      <c r="H3297" s="1258">
        <f t="shared" si="426"/>
        <v>0</v>
      </c>
      <c r="I3297" s="1259">
        <f t="shared" si="424"/>
        <v>2</v>
      </c>
      <c r="J3297" s="695">
        <f t="shared" si="424"/>
        <v>0</v>
      </c>
      <c r="K3297" s="650">
        <f t="shared" si="427"/>
        <v>0</v>
      </c>
    </row>
    <row r="3298" spans="1:11" ht="24.95" customHeight="1">
      <c r="A3298" s="1234" t="s">
        <v>6052</v>
      </c>
      <c r="B3298" s="1386" t="s">
        <v>6053</v>
      </c>
      <c r="C3298" s="1389"/>
      <c r="D3298" s="1389"/>
      <c r="E3298" s="1258" t="e">
        <f t="shared" si="425"/>
        <v>#DIV/0!</v>
      </c>
      <c r="F3298" s="1390">
        <v>3</v>
      </c>
      <c r="G3298" s="1390">
        <v>4</v>
      </c>
      <c r="H3298" s="1258">
        <f t="shared" si="426"/>
        <v>1.3333333333333333</v>
      </c>
      <c r="I3298" s="1259">
        <f t="shared" si="424"/>
        <v>3</v>
      </c>
      <c r="J3298" s="695">
        <f t="shared" si="424"/>
        <v>4</v>
      </c>
      <c r="K3298" s="650">
        <f t="shared" si="427"/>
        <v>1.3333333333333333</v>
      </c>
    </row>
    <row r="3299" spans="1:11" ht="24.95" customHeight="1">
      <c r="A3299" s="1234" t="s">
        <v>6054</v>
      </c>
      <c r="B3299" s="1386" t="s">
        <v>6055</v>
      </c>
      <c r="C3299" s="1389"/>
      <c r="D3299" s="1389"/>
      <c r="E3299" s="1258" t="e">
        <f t="shared" si="425"/>
        <v>#DIV/0!</v>
      </c>
      <c r="F3299" s="1389">
        <v>5</v>
      </c>
      <c r="G3299" s="1389"/>
      <c r="H3299" s="1258">
        <f t="shared" si="426"/>
        <v>0</v>
      </c>
      <c r="I3299" s="1259">
        <f t="shared" si="424"/>
        <v>5</v>
      </c>
      <c r="J3299" s="695">
        <f t="shared" si="424"/>
        <v>0</v>
      </c>
      <c r="K3299" s="650">
        <f t="shared" si="427"/>
        <v>0</v>
      </c>
    </row>
    <row r="3300" spans="1:11" ht="24.95" customHeight="1">
      <c r="A3300" s="1234" t="s">
        <v>6056</v>
      </c>
      <c r="B3300" s="1386" t="s">
        <v>6057</v>
      </c>
      <c r="C3300" s="1389">
        <v>10</v>
      </c>
      <c r="D3300" s="1389">
        <v>1</v>
      </c>
      <c r="E3300" s="1258">
        <f t="shared" si="425"/>
        <v>0.1</v>
      </c>
      <c r="F3300" s="1389"/>
      <c r="G3300" s="1389"/>
      <c r="H3300" s="1258" t="e">
        <f t="shared" si="426"/>
        <v>#DIV/0!</v>
      </c>
      <c r="I3300" s="1259">
        <f t="shared" si="424"/>
        <v>10</v>
      </c>
      <c r="J3300" s="695">
        <f t="shared" si="424"/>
        <v>1</v>
      </c>
      <c r="K3300" s="650">
        <f t="shared" si="427"/>
        <v>0.1</v>
      </c>
    </row>
    <row r="3301" spans="1:11" ht="24.95" customHeight="1">
      <c r="A3301" s="1234" t="s">
        <v>6058</v>
      </c>
      <c r="B3301" s="1386" t="s">
        <v>6059</v>
      </c>
      <c r="C3301" s="1389">
        <v>1</v>
      </c>
      <c r="D3301" s="1389"/>
      <c r="E3301" s="1258">
        <f t="shared" si="425"/>
        <v>0</v>
      </c>
      <c r="F3301" s="1389"/>
      <c r="G3301" s="1389"/>
      <c r="H3301" s="1258" t="e">
        <f t="shared" si="426"/>
        <v>#DIV/0!</v>
      </c>
      <c r="I3301" s="1259">
        <f t="shared" si="424"/>
        <v>1</v>
      </c>
      <c r="J3301" s="695">
        <f t="shared" si="424"/>
        <v>0</v>
      </c>
      <c r="K3301" s="650">
        <f t="shared" si="427"/>
        <v>0</v>
      </c>
    </row>
    <row r="3302" spans="1:11" ht="24.95" customHeight="1">
      <c r="A3302" s="1234" t="s">
        <v>6060</v>
      </c>
      <c r="B3302" s="1386" t="s">
        <v>6061</v>
      </c>
      <c r="C3302" s="1389"/>
      <c r="D3302" s="1389"/>
      <c r="E3302" s="1258" t="e">
        <f t="shared" si="425"/>
        <v>#DIV/0!</v>
      </c>
      <c r="F3302" s="1389">
        <v>4</v>
      </c>
      <c r="G3302" s="1389"/>
      <c r="H3302" s="1258">
        <f t="shared" si="426"/>
        <v>0</v>
      </c>
      <c r="I3302" s="1259"/>
      <c r="J3302" s="695">
        <f t="shared" ref="J3302:J3322" si="428">+D3302+G3302</f>
        <v>0</v>
      </c>
      <c r="K3302" s="650" t="e">
        <f t="shared" si="427"/>
        <v>#DIV/0!</v>
      </c>
    </row>
    <row r="3303" spans="1:11" ht="24.95" customHeight="1">
      <c r="A3303" s="1234" t="s">
        <v>6062</v>
      </c>
      <c r="B3303" s="1372" t="s">
        <v>6063</v>
      </c>
      <c r="C3303" s="1374"/>
      <c r="D3303" s="1374"/>
      <c r="E3303" s="1258" t="e">
        <f t="shared" si="425"/>
        <v>#DIV/0!</v>
      </c>
      <c r="F3303" s="724">
        <v>1</v>
      </c>
      <c r="G3303" s="724"/>
      <c r="H3303" s="1258">
        <f t="shared" si="426"/>
        <v>0</v>
      </c>
      <c r="I3303" s="1375">
        <f>+C3303+F3303</f>
        <v>1</v>
      </c>
      <c r="J3303" s="695">
        <f t="shared" si="428"/>
        <v>0</v>
      </c>
      <c r="K3303" s="650">
        <f t="shared" si="427"/>
        <v>0</v>
      </c>
    </row>
    <row r="3304" spans="1:11" ht="24.95" customHeight="1">
      <c r="A3304" s="1234" t="s">
        <v>6064</v>
      </c>
      <c r="B3304" s="1372" t="s">
        <v>6065</v>
      </c>
      <c r="C3304" s="1374"/>
      <c r="D3304" s="1374"/>
      <c r="E3304" s="1258" t="e">
        <f t="shared" si="425"/>
        <v>#DIV/0!</v>
      </c>
      <c r="F3304" s="724">
        <v>1</v>
      </c>
      <c r="G3304" s="724"/>
      <c r="H3304" s="1258">
        <f t="shared" si="426"/>
        <v>0</v>
      </c>
      <c r="I3304" s="1375">
        <f>+C3304+F3304</f>
        <v>1</v>
      </c>
      <c r="J3304" s="695">
        <f t="shared" si="428"/>
        <v>0</v>
      </c>
      <c r="K3304" s="650">
        <f t="shared" si="427"/>
        <v>0</v>
      </c>
    </row>
    <row r="3305" spans="1:11" ht="24.95" customHeight="1">
      <c r="A3305" s="1234" t="s">
        <v>6066</v>
      </c>
      <c r="B3305" s="1372" t="s">
        <v>6067</v>
      </c>
      <c r="C3305" s="1374">
        <v>1</v>
      </c>
      <c r="D3305" s="1374"/>
      <c r="E3305" s="1258">
        <f t="shared" si="425"/>
        <v>0</v>
      </c>
      <c r="F3305" s="724"/>
      <c r="G3305" s="724"/>
      <c r="H3305" s="1258" t="e">
        <f t="shared" si="426"/>
        <v>#DIV/0!</v>
      </c>
      <c r="I3305" s="1375"/>
      <c r="J3305" s="695">
        <f t="shared" si="428"/>
        <v>0</v>
      </c>
      <c r="K3305" s="650" t="e">
        <f t="shared" si="427"/>
        <v>#DIV/0!</v>
      </c>
    </row>
    <row r="3306" spans="1:11" ht="24.95" customHeight="1">
      <c r="A3306" s="1234" t="s">
        <v>6068</v>
      </c>
      <c r="B3306" s="1372" t="s">
        <v>6069</v>
      </c>
      <c r="C3306" s="1374"/>
      <c r="D3306" s="1374"/>
      <c r="E3306" s="1258" t="e">
        <f t="shared" si="425"/>
        <v>#DIV/0!</v>
      </c>
      <c r="F3306" s="724">
        <v>3</v>
      </c>
      <c r="G3306" s="724"/>
      <c r="H3306" s="1258">
        <f t="shared" si="426"/>
        <v>0</v>
      </c>
      <c r="I3306" s="1375">
        <f t="shared" ref="I3306:I3315" si="429">+C3306+F3306</f>
        <v>3</v>
      </c>
      <c r="J3306" s="695">
        <f t="shared" si="428"/>
        <v>0</v>
      </c>
      <c r="K3306" s="650">
        <f t="shared" si="427"/>
        <v>0</v>
      </c>
    </row>
    <row r="3307" spans="1:11" ht="24.95" customHeight="1">
      <c r="A3307" s="1234" t="s">
        <v>6070</v>
      </c>
      <c r="B3307" s="1372" t="s">
        <v>6071</v>
      </c>
      <c r="C3307" s="1374"/>
      <c r="D3307" s="1374"/>
      <c r="E3307" s="1258" t="e">
        <f t="shared" si="425"/>
        <v>#DIV/0!</v>
      </c>
      <c r="F3307" s="724">
        <v>1</v>
      </c>
      <c r="G3307" s="724"/>
      <c r="H3307" s="1258">
        <f t="shared" si="426"/>
        <v>0</v>
      </c>
      <c r="I3307" s="1375">
        <f t="shared" si="429"/>
        <v>1</v>
      </c>
      <c r="J3307" s="695">
        <f t="shared" si="428"/>
        <v>0</v>
      </c>
      <c r="K3307" s="650">
        <f t="shared" si="427"/>
        <v>0</v>
      </c>
    </row>
    <row r="3308" spans="1:11" ht="24.95" customHeight="1">
      <c r="A3308" s="1234" t="s">
        <v>6072</v>
      </c>
      <c r="B3308" s="1372" t="s">
        <v>6073</v>
      </c>
      <c r="C3308" s="1374"/>
      <c r="D3308" s="1374"/>
      <c r="E3308" s="1258" t="e">
        <f t="shared" si="425"/>
        <v>#DIV/0!</v>
      </c>
      <c r="F3308" s="724">
        <v>1</v>
      </c>
      <c r="G3308" s="724"/>
      <c r="H3308" s="1258">
        <f t="shared" si="426"/>
        <v>0</v>
      </c>
      <c r="I3308" s="1375">
        <f t="shared" si="429"/>
        <v>1</v>
      </c>
      <c r="J3308" s="695">
        <f t="shared" si="428"/>
        <v>0</v>
      </c>
      <c r="K3308" s="650">
        <f t="shared" si="427"/>
        <v>0</v>
      </c>
    </row>
    <row r="3309" spans="1:11" ht="24.95" customHeight="1">
      <c r="A3309" s="1234" t="s">
        <v>6074</v>
      </c>
      <c r="B3309" s="1372" t="s">
        <v>6075</v>
      </c>
      <c r="C3309" s="1374"/>
      <c r="D3309" s="1374"/>
      <c r="E3309" s="1258" t="e">
        <f t="shared" si="425"/>
        <v>#DIV/0!</v>
      </c>
      <c r="F3309" s="724">
        <v>3</v>
      </c>
      <c r="G3309" s="724">
        <v>2</v>
      </c>
      <c r="H3309" s="1258">
        <f t="shared" si="426"/>
        <v>0.66666666666666663</v>
      </c>
      <c r="I3309" s="1375">
        <f t="shared" si="429"/>
        <v>3</v>
      </c>
      <c r="J3309" s="695">
        <f t="shared" si="428"/>
        <v>2</v>
      </c>
      <c r="K3309" s="650">
        <f t="shared" si="427"/>
        <v>0.66666666666666663</v>
      </c>
    </row>
    <row r="3310" spans="1:11" ht="24.95" customHeight="1">
      <c r="A3310" s="1234" t="s">
        <v>6076</v>
      </c>
      <c r="B3310" s="1372" t="s">
        <v>6077</v>
      </c>
      <c r="C3310" s="1374"/>
      <c r="D3310" s="1374"/>
      <c r="E3310" s="1258" t="e">
        <f t="shared" si="425"/>
        <v>#DIV/0!</v>
      </c>
      <c r="F3310" s="724">
        <v>1</v>
      </c>
      <c r="G3310" s="724">
        <v>1</v>
      </c>
      <c r="H3310" s="1258">
        <f t="shared" si="426"/>
        <v>1</v>
      </c>
      <c r="I3310" s="1375">
        <f t="shared" si="429"/>
        <v>1</v>
      </c>
      <c r="J3310" s="695">
        <f t="shared" si="428"/>
        <v>1</v>
      </c>
      <c r="K3310" s="650">
        <f t="shared" si="427"/>
        <v>1</v>
      </c>
    </row>
    <row r="3311" spans="1:11" ht="24.95" customHeight="1">
      <c r="A3311" s="1234" t="s">
        <v>6078</v>
      </c>
      <c r="B3311" s="1372" t="s">
        <v>6079</v>
      </c>
      <c r="C3311" s="1374"/>
      <c r="D3311" s="1374"/>
      <c r="E3311" s="1258" t="e">
        <f t="shared" si="425"/>
        <v>#DIV/0!</v>
      </c>
      <c r="F3311" s="724">
        <v>2</v>
      </c>
      <c r="G3311" s="724"/>
      <c r="H3311" s="1258">
        <f t="shared" si="426"/>
        <v>0</v>
      </c>
      <c r="I3311" s="1375">
        <f t="shared" si="429"/>
        <v>2</v>
      </c>
      <c r="J3311" s="695">
        <f t="shared" si="428"/>
        <v>0</v>
      </c>
      <c r="K3311" s="650">
        <f t="shared" si="427"/>
        <v>0</v>
      </c>
    </row>
    <row r="3312" spans="1:11" ht="24.95" customHeight="1">
      <c r="A3312" s="1234" t="s">
        <v>6080</v>
      </c>
      <c r="B3312" s="1372" t="s">
        <v>6081</v>
      </c>
      <c r="C3312" s="1374"/>
      <c r="D3312" s="1374"/>
      <c r="E3312" s="1258" t="e">
        <f t="shared" si="425"/>
        <v>#DIV/0!</v>
      </c>
      <c r="F3312" s="724">
        <v>2</v>
      </c>
      <c r="G3312" s="724">
        <v>1</v>
      </c>
      <c r="H3312" s="1258">
        <f t="shared" si="426"/>
        <v>0.5</v>
      </c>
      <c r="I3312" s="1375">
        <f t="shared" si="429"/>
        <v>2</v>
      </c>
      <c r="J3312" s="695">
        <f t="shared" si="428"/>
        <v>1</v>
      </c>
      <c r="K3312" s="650">
        <f t="shared" si="427"/>
        <v>0.5</v>
      </c>
    </row>
    <row r="3313" spans="1:11" ht="24.95" customHeight="1">
      <c r="A3313" s="1234" t="s">
        <v>6082</v>
      </c>
      <c r="B3313" s="1372" t="s">
        <v>6083</v>
      </c>
      <c r="C3313" s="1374"/>
      <c r="D3313" s="1374"/>
      <c r="E3313" s="1258" t="e">
        <f t="shared" si="425"/>
        <v>#DIV/0!</v>
      </c>
      <c r="F3313" s="724">
        <v>2</v>
      </c>
      <c r="G3313" s="724"/>
      <c r="H3313" s="1258">
        <f t="shared" si="426"/>
        <v>0</v>
      </c>
      <c r="I3313" s="1375">
        <f t="shared" si="429"/>
        <v>2</v>
      </c>
      <c r="J3313" s="695">
        <f t="shared" si="428"/>
        <v>0</v>
      </c>
      <c r="K3313" s="650">
        <f t="shared" si="427"/>
        <v>0</v>
      </c>
    </row>
    <row r="3314" spans="1:11" ht="24.95" customHeight="1">
      <c r="A3314" s="1234" t="s">
        <v>6084</v>
      </c>
      <c r="B3314" s="1372" t="s">
        <v>6085</v>
      </c>
      <c r="C3314" s="1374"/>
      <c r="D3314" s="1374"/>
      <c r="E3314" s="1258" t="e">
        <f t="shared" si="425"/>
        <v>#DIV/0!</v>
      </c>
      <c r="F3314" s="724">
        <v>2</v>
      </c>
      <c r="G3314" s="724"/>
      <c r="H3314" s="1258">
        <f t="shared" si="426"/>
        <v>0</v>
      </c>
      <c r="I3314" s="1375">
        <f t="shared" si="429"/>
        <v>2</v>
      </c>
      <c r="J3314" s="695">
        <f t="shared" si="428"/>
        <v>0</v>
      </c>
      <c r="K3314" s="650">
        <f t="shared" si="427"/>
        <v>0</v>
      </c>
    </row>
    <row r="3315" spans="1:11" ht="24.95" customHeight="1">
      <c r="A3315" s="1234" t="s">
        <v>6086</v>
      </c>
      <c r="B3315" s="1372" t="s">
        <v>6087</v>
      </c>
      <c r="C3315" s="1374"/>
      <c r="D3315" s="1374"/>
      <c r="E3315" s="1258" t="e">
        <f t="shared" si="425"/>
        <v>#DIV/0!</v>
      </c>
      <c r="F3315" s="724">
        <v>2</v>
      </c>
      <c r="G3315" s="724"/>
      <c r="H3315" s="1258">
        <f t="shared" si="426"/>
        <v>0</v>
      </c>
      <c r="I3315" s="1375">
        <f t="shared" si="429"/>
        <v>2</v>
      </c>
      <c r="J3315" s="695">
        <f t="shared" si="428"/>
        <v>0</v>
      </c>
      <c r="K3315" s="650">
        <f t="shared" si="427"/>
        <v>0</v>
      </c>
    </row>
    <row r="3316" spans="1:11" ht="24.95" customHeight="1" thickBot="1">
      <c r="A3316" s="1391" t="s">
        <v>6088</v>
      </c>
      <c r="B3316" s="1382" t="s">
        <v>6089</v>
      </c>
      <c r="C3316" s="1392"/>
      <c r="D3316" s="1392"/>
      <c r="E3316" s="1258" t="e">
        <f t="shared" si="425"/>
        <v>#DIV/0!</v>
      </c>
      <c r="F3316" s="1393">
        <v>2</v>
      </c>
      <c r="G3316" s="1393"/>
      <c r="H3316" s="1258">
        <f t="shared" si="426"/>
        <v>0</v>
      </c>
      <c r="I3316" s="1394">
        <f t="shared" ref="I3316:I3322" si="430">+F3316</f>
        <v>2</v>
      </c>
      <c r="J3316" s="695">
        <f t="shared" si="428"/>
        <v>0</v>
      </c>
      <c r="K3316" s="650">
        <f t="shared" si="427"/>
        <v>0</v>
      </c>
    </row>
    <row r="3317" spans="1:11" ht="24.95" customHeight="1">
      <c r="A3317" s="1395" t="s">
        <v>6090</v>
      </c>
      <c r="B3317" s="1396" t="s">
        <v>6091</v>
      </c>
      <c r="C3317" s="1392"/>
      <c r="D3317" s="1397"/>
      <c r="E3317" s="1258" t="e">
        <f t="shared" si="425"/>
        <v>#DIV/0!</v>
      </c>
      <c r="F3317" s="1398">
        <v>1</v>
      </c>
      <c r="G3317" s="1398"/>
      <c r="H3317" s="1258">
        <f t="shared" si="426"/>
        <v>0</v>
      </c>
      <c r="I3317" s="1394">
        <f t="shared" si="430"/>
        <v>1</v>
      </c>
      <c r="J3317" s="695">
        <f t="shared" si="428"/>
        <v>0</v>
      </c>
      <c r="K3317" s="650">
        <f t="shared" si="427"/>
        <v>0</v>
      </c>
    </row>
    <row r="3318" spans="1:11" ht="24.95" customHeight="1">
      <c r="A3318" s="1391" t="s">
        <v>6092</v>
      </c>
      <c r="B3318" s="1382" t="s">
        <v>6093</v>
      </c>
      <c r="C3318" s="1399"/>
      <c r="D3318" s="1400"/>
      <c r="E3318" s="1258" t="e">
        <f t="shared" si="425"/>
        <v>#DIV/0!</v>
      </c>
      <c r="F3318" s="1400">
        <v>2</v>
      </c>
      <c r="G3318" s="1400"/>
      <c r="H3318" s="1258">
        <f t="shared" si="426"/>
        <v>0</v>
      </c>
      <c r="I3318" s="1394">
        <f t="shared" si="430"/>
        <v>2</v>
      </c>
      <c r="J3318" s="695">
        <f t="shared" si="428"/>
        <v>0</v>
      </c>
      <c r="K3318" s="650">
        <f t="shared" si="427"/>
        <v>0</v>
      </c>
    </row>
    <row r="3319" spans="1:11" ht="24.95" customHeight="1">
      <c r="A3319" s="1391" t="s">
        <v>6094</v>
      </c>
      <c r="B3319" s="1382" t="s">
        <v>6095</v>
      </c>
      <c r="C3319" s="1399"/>
      <c r="D3319" s="1400"/>
      <c r="E3319" s="1258" t="e">
        <f t="shared" si="425"/>
        <v>#DIV/0!</v>
      </c>
      <c r="F3319" s="1400">
        <v>0</v>
      </c>
      <c r="G3319" s="1400"/>
      <c r="H3319" s="1258" t="e">
        <f t="shared" si="426"/>
        <v>#DIV/0!</v>
      </c>
      <c r="I3319" s="1394">
        <f t="shared" si="430"/>
        <v>0</v>
      </c>
      <c r="J3319" s="695">
        <f t="shared" si="428"/>
        <v>0</v>
      </c>
      <c r="K3319" s="650" t="e">
        <f t="shared" si="427"/>
        <v>#DIV/0!</v>
      </c>
    </row>
    <row r="3320" spans="1:11" ht="24.95" customHeight="1">
      <c r="A3320" s="1391" t="s">
        <v>6096</v>
      </c>
      <c r="B3320" s="1382" t="s">
        <v>6097</v>
      </c>
      <c r="C3320" s="1399"/>
      <c r="D3320" s="1400"/>
      <c r="E3320" s="1258" t="e">
        <f t="shared" si="425"/>
        <v>#DIV/0!</v>
      </c>
      <c r="F3320" s="1400">
        <v>2</v>
      </c>
      <c r="G3320" s="1400"/>
      <c r="H3320" s="1258">
        <f t="shared" si="426"/>
        <v>0</v>
      </c>
      <c r="I3320" s="1394">
        <f t="shared" si="430"/>
        <v>2</v>
      </c>
      <c r="J3320" s="695">
        <f t="shared" si="428"/>
        <v>0</v>
      </c>
      <c r="K3320" s="650">
        <f t="shared" si="427"/>
        <v>0</v>
      </c>
    </row>
    <row r="3321" spans="1:11" ht="24.95" customHeight="1">
      <c r="A3321" s="1401" t="s">
        <v>6098</v>
      </c>
      <c r="B3321" s="1382" t="s">
        <v>6099</v>
      </c>
      <c r="C3321" s="1392"/>
      <c r="D3321" s="1392"/>
      <c r="E3321" s="1258" t="e">
        <f t="shared" si="425"/>
        <v>#DIV/0!</v>
      </c>
      <c r="F3321" s="1402">
        <v>2</v>
      </c>
      <c r="G3321" s="1402"/>
      <c r="H3321" s="1258">
        <f t="shared" si="426"/>
        <v>0</v>
      </c>
      <c r="I3321" s="1394">
        <f t="shared" si="430"/>
        <v>2</v>
      </c>
      <c r="J3321" s="695">
        <f t="shared" si="428"/>
        <v>0</v>
      </c>
      <c r="K3321" s="650">
        <f t="shared" si="427"/>
        <v>0</v>
      </c>
    </row>
    <row r="3322" spans="1:11" ht="24.95" customHeight="1">
      <c r="A3322" s="1403" t="s">
        <v>6100</v>
      </c>
      <c r="B3322" s="1404" t="s">
        <v>6101</v>
      </c>
      <c r="C3322" s="1392"/>
      <c r="D3322" s="1392"/>
      <c r="E3322" s="1258" t="e">
        <f t="shared" si="425"/>
        <v>#DIV/0!</v>
      </c>
      <c r="F3322" s="1402">
        <v>1</v>
      </c>
      <c r="G3322" s="1402"/>
      <c r="H3322" s="1258">
        <f t="shared" si="426"/>
        <v>0</v>
      </c>
      <c r="I3322" s="1394">
        <f t="shared" si="430"/>
        <v>1</v>
      </c>
      <c r="J3322" s="695">
        <f t="shared" si="428"/>
        <v>0</v>
      </c>
      <c r="K3322" s="650">
        <f t="shared" si="427"/>
        <v>0</v>
      </c>
    </row>
    <row r="3323" spans="1:11" ht="24.95" customHeight="1">
      <c r="A3323" s="1234"/>
      <c r="B3323" s="1372" t="s">
        <v>2</v>
      </c>
      <c r="C3323" s="1389">
        <f t="shared" ref="C3323:G3323" si="431">SUM(C3027:C3322)</f>
        <v>258</v>
      </c>
      <c r="D3323" s="1389">
        <f t="shared" si="431"/>
        <v>40</v>
      </c>
      <c r="E3323" s="1258">
        <f t="shared" si="425"/>
        <v>0.15503875968992248</v>
      </c>
      <c r="F3323" s="1389">
        <f t="shared" si="431"/>
        <v>2959</v>
      </c>
      <c r="G3323" s="1389">
        <f t="shared" si="431"/>
        <v>1162</v>
      </c>
      <c r="H3323" s="1258">
        <f t="shared" si="426"/>
        <v>0.39270023656640757</v>
      </c>
      <c r="I3323" s="1274">
        <f>SUM(I3027:I3299)</f>
        <v>3162</v>
      </c>
      <c r="J3323" s="1274">
        <f>SUM(J3027:J3299)</f>
        <v>1197</v>
      </c>
      <c r="K3323" s="650">
        <f t="shared" si="427"/>
        <v>0.37855787476280833</v>
      </c>
    </row>
    <row r="3324" spans="1:11" ht="24.95" customHeight="1">
      <c r="A3324" s="1234"/>
      <c r="B3324" s="1405" t="s">
        <v>6102</v>
      </c>
      <c r="C3324" s="2001"/>
      <c r="D3324" s="2002"/>
      <c r="E3324" s="2002"/>
      <c r="F3324" s="2002"/>
      <c r="G3324" s="2002"/>
      <c r="H3324" s="2002"/>
      <c r="I3324" s="2002"/>
      <c r="J3324" s="2002"/>
      <c r="K3324" s="2003"/>
    </row>
    <row r="3325" spans="1:11" ht="24.95" customHeight="1">
      <c r="A3325" s="456" t="s">
        <v>4444</v>
      </c>
      <c r="B3325" s="1225" t="s">
        <v>4445</v>
      </c>
      <c r="C3325" s="1374"/>
      <c r="D3325" s="1374"/>
      <c r="E3325" s="1406"/>
      <c r="F3325" s="723"/>
      <c r="G3325" s="723"/>
      <c r="H3325" s="728" t="e">
        <f>+G3325/F3325</f>
        <v>#DIV/0!</v>
      </c>
      <c r="I3325" s="1375">
        <f t="shared" ref="I3325:J3355" si="432">+C3325+F3325</f>
        <v>0</v>
      </c>
      <c r="J3325" s="695">
        <f>+D3325+G3325</f>
        <v>0</v>
      </c>
      <c r="K3325" s="650" t="e">
        <f>+J3325/I3325</f>
        <v>#DIV/0!</v>
      </c>
    </row>
    <row r="3326" spans="1:11" ht="24.95" customHeight="1">
      <c r="A3326" s="1234" t="s">
        <v>3557</v>
      </c>
      <c r="B3326" s="1372" t="s">
        <v>4115</v>
      </c>
      <c r="C3326" s="1374"/>
      <c r="D3326" s="1374"/>
      <c r="E3326" s="1406"/>
      <c r="F3326" s="723"/>
      <c r="G3326" s="723"/>
      <c r="H3326" s="728" t="e">
        <f t="shared" ref="H3326:H3357" si="433">+G3326/F3326</f>
        <v>#DIV/0!</v>
      </c>
      <c r="I3326" s="1375">
        <f t="shared" si="432"/>
        <v>0</v>
      </c>
      <c r="J3326" s="695">
        <f t="shared" si="432"/>
        <v>0</v>
      </c>
      <c r="K3326" s="650" t="e">
        <f t="shared" ref="K3326:K3357" si="434">+J3326/I3326</f>
        <v>#DIV/0!</v>
      </c>
    </row>
    <row r="3327" spans="1:11" ht="24.95" customHeight="1">
      <c r="A3327" s="456" t="s">
        <v>2679</v>
      </c>
      <c r="B3327" s="1225" t="s">
        <v>2680</v>
      </c>
      <c r="C3327" s="1374"/>
      <c r="D3327" s="1374"/>
      <c r="E3327" s="1406"/>
      <c r="F3327" s="723"/>
      <c r="G3327" s="723"/>
      <c r="H3327" s="728" t="e">
        <f t="shared" si="433"/>
        <v>#DIV/0!</v>
      </c>
      <c r="I3327" s="1375">
        <f t="shared" si="432"/>
        <v>0</v>
      </c>
      <c r="J3327" s="695">
        <f t="shared" si="432"/>
        <v>0</v>
      </c>
      <c r="K3327" s="650" t="e">
        <f t="shared" si="434"/>
        <v>#DIV/0!</v>
      </c>
    </row>
    <row r="3328" spans="1:11" ht="24.95" customHeight="1">
      <c r="A3328" s="456" t="s">
        <v>5628</v>
      </c>
      <c r="B3328" s="1225" t="s">
        <v>5629</v>
      </c>
      <c r="C3328" s="1374"/>
      <c r="D3328" s="1374"/>
      <c r="E3328" s="1406"/>
      <c r="F3328" s="723"/>
      <c r="G3328" s="723"/>
      <c r="H3328" s="728" t="e">
        <f t="shared" si="433"/>
        <v>#DIV/0!</v>
      </c>
      <c r="I3328" s="1375">
        <f t="shared" si="432"/>
        <v>0</v>
      </c>
      <c r="J3328" s="695">
        <f t="shared" si="432"/>
        <v>0</v>
      </c>
      <c r="K3328" s="650" t="e">
        <f t="shared" si="434"/>
        <v>#DIV/0!</v>
      </c>
    </row>
    <row r="3329" spans="1:11" ht="24.95" customHeight="1">
      <c r="A3329" s="1235" t="s">
        <v>5640</v>
      </c>
      <c r="B3329" s="1379" t="s">
        <v>5641</v>
      </c>
      <c r="C3329" s="1374"/>
      <c r="D3329" s="1374"/>
      <c r="E3329" s="1406"/>
      <c r="F3329" s="723"/>
      <c r="G3329" s="723"/>
      <c r="H3329" s="728" t="e">
        <f t="shared" si="433"/>
        <v>#DIV/0!</v>
      </c>
      <c r="I3329" s="1375">
        <f t="shared" si="432"/>
        <v>0</v>
      </c>
      <c r="J3329" s="695">
        <f t="shared" si="432"/>
        <v>0</v>
      </c>
      <c r="K3329" s="650" t="e">
        <f t="shared" si="434"/>
        <v>#DIV/0!</v>
      </c>
    </row>
    <row r="3330" spans="1:11" ht="24.95" customHeight="1">
      <c r="A3330" s="1235" t="s">
        <v>2681</v>
      </c>
      <c r="B3330" s="1379" t="s">
        <v>2682</v>
      </c>
      <c r="C3330" s="1374"/>
      <c r="D3330" s="1374"/>
      <c r="E3330" s="1406"/>
      <c r="F3330" s="723"/>
      <c r="G3330" s="723"/>
      <c r="H3330" s="728" t="e">
        <f t="shared" si="433"/>
        <v>#DIV/0!</v>
      </c>
      <c r="I3330" s="1375">
        <f t="shared" si="432"/>
        <v>0</v>
      </c>
      <c r="J3330" s="695">
        <f t="shared" si="432"/>
        <v>0</v>
      </c>
      <c r="K3330" s="650" t="e">
        <f t="shared" si="434"/>
        <v>#DIV/0!</v>
      </c>
    </row>
    <row r="3331" spans="1:11" ht="24.95" customHeight="1">
      <c r="A3331" s="456" t="s">
        <v>5669</v>
      </c>
      <c r="B3331" s="1225" t="s">
        <v>5670</v>
      </c>
      <c r="C3331" s="1374"/>
      <c r="D3331" s="1374"/>
      <c r="E3331" s="1406"/>
      <c r="F3331" s="723"/>
      <c r="G3331" s="723"/>
      <c r="H3331" s="728" t="e">
        <f t="shared" si="433"/>
        <v>#DIV/0!</v>
      </c>
      <c r="I3331" s="1375">
        <f t="shared" si="432"/>
        <v>0</v>
      </c>
      <c r="J3331" s="695">
        <f t="shared" si="432"/>
        <v>0</v>
      </c>
      <c r="K3331" s="650" t="e">
        <f t="shared" si="434"/>
        <v>#DIV/0!</v>
      </c>
    </row>
    <row r="3332" spans="1:11" ht="24.95" customHeight="1">
      <c r="A3332" s="456" t="s">
        <v>5696</v>
      </c>
      <c r="B3332" s="1225" t="s">
        <v>5697</v>
      </c>
      <c r="C3332" s="1374"/>
      <c r="D3332" s="1374"/>
      <c r="E3332" s="1406"/>
      <c r="F3332" s="723"/>
      <c r="G3332" s="723"/>
      <c r="H3332" s="728" t="e">
        <f t="shared" si="433"/>
        <v>#DIV/0!</v>
      </c>
      <c r="I3332" s="1375">
        <f t="shared" si="432"/>
        <v>0</v>
      </c>
      <c r="J3332" s="695">
        <f t="shared" si="432"/>
        <v>0</v>
      </c>
      <c r="K3332" s="650" t="e">
        <f t="shared" si="434"/>
        <v>#DIV/0!</v>
      </c>
    </row>
    <row r="3333" spans="1:11" ht="24.95" customHeight="1">
      <c r="A3333" s="456" t="s">
        <v>5777</v>
      </c>
      <c r="B3333" s="1225" t="s">
        <v>5778</v>
      </c>
      <c r="C3333" s="1374"/>
      <c r="D3333" s="1374"/>
      <c r="E3333" s="1406"/>
      <c r="F3333" s="723"/>
      <c r="G3333" s="723"/>
      <c r="H3333" s="728" t="e">
        <f t="shared" si="433"/>
        <v>#DIV/0!</v>
      </c>
      <c r="I3333" s="1375">
        <f t="shared" si="432"/>
        <v>0</v>
      </c>
      <c r="J3333" s="695">
        <f t="shared" si="432"/>
        <v>0</v>
      </c>
      <c r="K3333" s="650" t="e">
        <f t="shared" si="434"/>
        <v>#DIV/0!</v>
      </c>
    </row>
    <row r="3334" spans="1:11" ht="24.95" customHeight="1">
      <c r="A3334" s="456" t="s">
        <v>5315</v>
      </c>
      <c r="B3334" s="1225" t="s">
        <v>5316</v>
      </c>
      <c r="C3334" s="1374"/>
      <c r="D3334" s="1374"/>
      <c r="E3334" s="1406"/>
      <c r="F3334" s="723">
        <v>82</v>
      </c>
      <c r="G3334" s="723">
        <v>50</v>
      </c>
      <c r="H3334" s="728">
        <f t="shared" si="433"/>
        <v>0.6097560975609756</v>
      </c>
      <c r="I3334" s="1375">
        <f t="shared" si="432"/>
        <v>82</v>
      </c>
      <c r="J3334" s="695">
        <f t="shared" si="432"/>
        <v>50</v>
      </c>
      <c r="K3334" s="650">
        <f t="shared" si="434"/>
        <v>0.6097560975609756</v>
      </c>
    </row>
    <row r="3335" spans="1:11" ht="24.95" customHeight="1">
      <c r="A3335" s="456" t="s">
        <v>5317</v>
      </c>
      <c r="B3335" s="1225" t="s">
        <v>5193</v>
      </c>
      <c r="C3335" s="1374"/>
      <c r="D3335" s="1374"/>
      <c r="E3335" s="1406"/>
      <c r="F3335" s="723">
        <v>25</v>
      </c>
      <c r="G3335" s="723"/>
      <c r="H3335" s="728">
        <f t="shared" si="433"/>
        <v>0</v>
      </c>
      <c r="I3335" s="1375">
        <f t="shared" si="432"/>
        <v>25</v>
      </c>
      <c r="J3335" s="695">
        <f t="shared" si="432"/>
        <v>0</v>
      </c>
      <c r="K3335" s="650">
        <f t="shared" si="434"/>
        <v>0</v>
      </c>
    </row>
    <row r="3336" spans="1:11" ht="24.95" customHeight="1">
      <c r="A3336" s="456" t="s">
        <v>5794</v>
      </c>
      <c r="B3336" s="1225" t="s">
        <v>5795</v>
      </c>
      <c r="C3336" s="1374"/>
      <c r="D3336" s="1374"/>
      <c r="E3336" s="1406"/>
      <c r="F3336" s="723"/>
      <c r="G3336" s="723"/>
      <c r="H3336" s="728" t="e">
        <f t="shared" si="433"/>
        <v>#DIV/0!</v>
      </c>
      <c r="I3336" s="1375">
        <f t="shared" si="432"/>
        <v>0</v>
      </c>
      <c r="J3336" s="695">
        <f t="shared" si="432"/>
        <v>0</v>
      </c>
      <c r="K3336" s="650" t="e">
        <f t="shared" si="434"/>
        <v>#DIV/0!</v>
      </c>
    </row>
    <row r="3337" spans="1:11" ht="24.95" customHeight="1">
      <c r="A3337" s="456" t="s">
        <v>5796</v>
      </c>
      <c r="B3337" s="1225" t="s">
        <v>5797</v>
      </c>
      <c r="C3337" s="1374"/>
      <c r="D3337" s="1374"/>
      <c r="E3337" s="1406"/>
      <c r="F3337" s="723"/>
      <c r="G3337" s="723"/>
      <c r="H3337" s="728" t="e">
        <f t="shared" si="433"/>
        <v>#DIV/0!</v>
      </c>
      <c r="I3337" s="1375">
        <f t="shared" si="432"/>
        <v>0</v>
      </c>
      <c r="J3337" s="695">
        <f t="shared" si="432"/>
        <v>0</v>
      </c>
      <c r="K3337" s="650" t="e">
        <f t="shared" si="434"/>
        <v>#DIV/0!</v>
      </c>
    </row>
    <row r="3338" spans="1:11" ht="24.95" customHeight="1">
      <c r="A3338" s="456" t="s">
        <v>5798</v>
      </c>
      <c r="B3338" s="1225" t="s">
        <v>5799</v>
      </c>
      <c r="C3338" s="1374"/>
      <c r="D3338" s="1374"/>
      <c r="E3338" s="1406"/>
      <c r="F3338" s="723"/>
      <c r="G3338" s="723"/>
      <c r="H3338" s="728" t="e">
        <f t="shared" si="433"/>
        <v>#DIV/0!</v>
      </c>
      <c r="I3338" s="1375">
        <f t="shared" si="432"/>
        <v>0</v>
      </c>
      <c r="J3338" s="695">
        <f t="shared" si="432"/>
        <v>0</v>
      </c>
      <c r="K3338" s="650" t="e">
        <f t="shared" si="434"/>
        <v>#DIV/0!</v>
      </c>
    </row>
    <row r="3339" spans="1:11" ht="24.95" customHeight="1">
      <c r="A3339" s="456" t="s">
        <v>5800</v>
      </c>
      <c r="B3339" s="1225" t="s">
        <v>5801</v>
      </c>
      <c r="C3339" s="1374"/>
      <c r="D3339" s="1374"/>
      <c r="E3339" s="1406"/>
      <c r="F3339" s="723"/>
      <c r="G3339" s="723"/>
      <c r="H3339" s="728" t="e">
        <f t="shared" si="433"/>
        <v>#DIV/0!</v>
      </c>
      <c r="I3339" s="1375">
        <f t="shared" si="432"/>
        <v>0</v>
      </c>
      <c r="J3339" s="695">
        <f t="shared" si="432"/>
        <v>0</v>
      </c>
      <c r="K3339" s="650" t="e">
        <f t="shared" si="434"/>
        <v>#DIV/0!</v>
      </c>
    </row>
    <row r="3340" spans="1:11" ht="24.95" customHeight="1">
      <c r="A3340" s="456" t="s">
        <v>5340</v>
      </c>
      <c r="B3340" s="1225" t="s">
        <v>5341</v>
      </c>
      <c r="C3340" s="1374"/>
      <c r="D3340" s="1374"/>
      <c r="E3340" s="1406"/>
      <c r="F3340" s="723">
        <v>5</v>
      </c>
      <c r="G3340" s="723"/>
      <c r="H3340" s="728">
        <f t="shared" si="433"/>
        <v>0</v>
      </c>
      <c r="I3340" s="1375">
        <f t="shared" si="432"/>
        <v>5</v>
      </c>
      <c r="J3340" s="695">
        <f t="shared" si="432"/>
        <v>0</v>
      </c>
      <c r="K3340" s="650">
        <f t="shared" si="434"/>
        <v>0</v>
      </c>
    </row>
    <row r="3341" spans="1:11" ht="24.95" customHeight="1">
      <c r="A3341" s="456" t="s">
        <v>5804</v>
      </c>
      <c r="B3341" s="1225" t="s">
        <v>5805</v>
      </c>
      <c r="C3341" s="1374"/>
      <c r="D3341" s="1374"/>
      <c r="E3341" s="1406"/>
      <c r="F3341" s="723">
        <v>20</v>
      </c>
      <c r="G3341" s="723"/>
      <c r="H3341" s="728">
        <f t="shared" si="433"/>
        <v>0</v>
      </c>
      <c r="I3341" s="1375">
        <f t="shared" si="432"/>
        <v>20</v>
      </c>
      <c r="J3341" s="695">
        <f t="shared" si="432"/>
        <v>0</v>
      </c>
      <c r="K3341" s="650">
        <f t="shared" si="434"/>
        <v>0</v>
      </c>
    </row>
    <row r="3342" spans="1:11" ht="24.95" customHeight="1">
      <c r="A3342" s="456" t="s">
        <v>4738</v>
      </c>
      <c r="B3342" s="1386" t="s">
        <v>4739</v>
      </c>
      <c r="C3342" s="1374"/>
      <c r="D3342" s="1374"/>
      <c r="E3342" s="1406"/>
      <c r="F3342" s="724"/>
      <c r="G3342" s="724"/>
      <c r="H3342" s="728" t="e">
        <f t="shared" si="433"/>
        <v>#DIV/0!</v>
      </c>
      <c r="I3342" s="1375">
        <f t="shared" si="432"/>
        <v>0</v>
      </c>
      <c r="J3342" s="695">
        <f t="shared" si="432"/>
        <v>0</v>
      </c>
      <c r="K3342" s="650" t="e">
        <f t="shared" si="434"/>
        <v>#DIV/0!</v>
      </c>
    </row>
    <row r="3343" spans="1:11" ht="24.95" customHeight="1">
      <c r="A3343" s="456" t="s">
        <v>5862</v>
      </c>
      <c r="B3343" s="1225" t="s">
        <v>6103</v>
      </c>
      <c r="C3343" s="1374"/>
      <c r="D3343" s="1374"/>
      <c r="E3343" s="1406"/>
      <c r="F3343" s="724"/>
      <c r="G3343" s="724"/>
      <c r="H3343" s="728" t="e">
        <f t="shared" si="433"/>
        <v>#DIV/0!</v>
      </c>
      <c r="I3343" s="1375">
        <f t="shared" si="432"/>
        <v>0</v>
      </c>
      <c r="J3343" s="695">
        <f t="shared" si="432"/>
        <v>0</v>
      </c>
      <c r="K3343" s="650" t="e">
        <f t="shared" si="434"/>
        <v>#DIV/0!</v>
      </c>
    </row>
    <row r="3344" spans="1:11" ht="24.95" customHeight="1">
      <c r="A3344" s="456" t="s">
        <v>6104</v>
      </c>
      <c r="B3344" s="1225" t="s">
        <v>6105</v>
      </c>
      <c r="C3344" s="1374"/>
      <c r="D3344" s="1374"/>
      <c r="E3344" s="1406"/>
      <c r="F3344" s="724"/>
      <c r="G3344" s="724"/>
      <c r="H3344" s="728" t="e">
        <f t="shared" si="433"/>
        <v>#DIV/0!</v>
      </c>
      <c r="I3344" s="1375">
        <f t="shared" si="432"/>
        <v>0</v>
      </c>
      <c r="J3344" s="695">
        <f t="shared" si="432"/>
        <v>0</v>
      </c>
      <c r="K3344" s="650" t="e">
        <f t="shared" si="434"/>
        <v>#DIV/0!</v>
      </c>
    </row>
    <row r="3345" spans="1:11" ht="24.95" customHeight="1">
      <c r="A3345" s="456" t="s">
        <v>5462</v>
      </c>
      <c r="B3345" s="1225" t="s">
        <v>5463</v>
      </c>
      <c r="C3345" s="1374"/>
      <c r="D3345" s="1374"/>
      <c r="E3345" s="1406"/>
      <c r="F3345" s="724">
        <v>5</v>
      </c>
      <c r="G3345" s="724"/>
      <c r="H3345" s="728">
        <f t="shared" si="433"/>
        <v>0</v>
      </c>
      <c r="I3345" s="1375">
        <f t="shared" si="432"/>
        <v>5</v>
      </c>
      <c r="J3345" s="695">
        <f t="shared" si="432"/>
        <v>0</v>
      </c>
      <c r="K3345" s="650">
        <f t="shared" si="434"/>
        <v>0</v>
      </c>
    </row>
    <row r="3346" spans="1:11" ht="24.95" customHeight="1">
      <c r="A3346" s="456" t="s">
        <v>5464</v>
      </c>
      <c r="B3346" s="1379" t="s">
        <v>5465</v>
      </c>
      <c r="C3346" s="1374"/>
      <c r="D3346" s="1374"/>
      <c r="E3346" s="1406"/>
      <c r="F3346" s="724">
        <v>3</v>
      </c>
      <c r="G3346" s="724"/>
      <c r="H3346" s="728">
        <f t="shared" si="433"/>
        <v>0</v>
      </c>
      <c r="I3346" s="1375">
        <f t="shared" si="432"/>
        <v>3</v>
      </c>
      <c r="J3346" s="695">
        <f t="shared" si="432"/>
        <v>0</v>
      </c>
      <c r="K3346" s="650">
        <f t="shared" si="434"/>
        <v>0</v>
      </c>
    </row>
    <row r="3347" spans="1:11" ht="24.95" customHeight="1">
      <c r="A3347" s="1235" t="s">
        <v>5468</v>
      </c>
      <c r="B3347" s="1379" t="s">
        <v>5560</v>
      </c>
      <c r="C3347" s="1374"/>
      <c r="D3347" s="1374"/>
      <c r="E3347" s="1406"/>
      <c r="F3347" s="724"/>
      <c r="G3347" s="724"/>
      <c r="H3347" s="728" t="e">
        <f t="shared" si="433"/>
        <v>#DIV/0!</v>
      </c>
      <c r="I3347" s="1375">
        <f t="shared" si="432"/>
        <v>0</v>
      </c>
      <c r="J3347" s="695">
        <f t="shared" si="432"/>
        <v>0</v>
      </c>
      <c r="K3347" s="650" t="e">
        <f t="shared" si="434"/>
        <v>#DIV/0!</v>
      </c>
    </row>
    <row r="3348" spans="1:11" ht="24.95" customHeight="1">
      <c r="A3348" s="456" t="s">
        <v>5484</v>
      </c>
      <c r="B3348" s="1225" t="s">
        <v>5888</v>
      </c>
      <c r="C3348" s="1374"/>
      <c r="D3348" s="1374"/>
      <c r="E3348" s="1406"/>
      <c r="F3348" s="724">
        <v>5</v>
      </c>
      <c r="G3348" s="724"/>
      <c r="H3348" s="728">
        <f t="shared" si="433"/>
        <v>0</v>
      </c>
      <c r="I3348" s="1375">
        <f t="shared" si="432"/>
        <v>5</v>
      </c>
      <c r="J3348" s="695">
        <f t="shared" si="432"/>
        <v>0</v>
      </c>
      <c r="K3348" s="650">
        <f t="shared" si="434"/>
        <v>0</v>
      </c>
    </row>
    <row r="3349" spans="1:11" ht="24.95" customHeight="1">
      <c r="A3349" s="456" t="s">
        <v>5490</v>
      </c>
      <c r="B3349" s="1225" t="s">
        <v>5491</v>
      </c>
      <c r="C3349" s="1374"/>
      <c r="D3349" s="1374"/>
      <c r="E3349" s="1406"/>
      <c r="F3349" s="724"/>
      <c r="G3349" s="724"/>
      <c r="H3349" s="728" t="e">
        <f t="shared" si="433"/>
        <v>#DIV/0!</v>
      </c>
      <c r="I3349" s="1375">
        <f t="shared" si="432"/>
        <v>0</v>
      </c>
      <c r="J3349" s="695">
        <f t="shared" si="432"/>
        <v>0</v>
      </c>
      <c r="K3349" s="650" t="e">
        <f t="shared" si="434"/>
        <v>#DIV/0!</v>
      </c>
    </row>
    <row r="3350" spans="1:11" ht="24.95" customHeight="1">
      <c r="A3350" s="1235" t="s">
        <v>6106</v>
      </c>
      <c r="B3350" s="1379" t="s">
        <v>6107</v>
      </c>
      <c r="C3350" s="1374"/>
      <c r="D3350" s="1374"/>
      <c r="E3350" s="1406"/>
      <c r="F3350" s="724"/>
      <c r="G3350" s="724"/>
      <c r="H3350" s="728" t="e">
        <f t="shared" si="433"/>
        <v>#DIV/0!</v>
      </c>
      <c r="I3350" s="1375">
        <f t="shared" si="432"/>
        <v>0</v>
      </c>
      <c r="J3350" s="695">
        <f t="shared" si="432"/>
        <v>0</v>
      </c>
      <c r="K3350" s="650" t="e">
        <f t="shared" si="434"/>
        <v>#DIV/0!</v>
      </c>
    </row>
    <row r="3351" spans="1:11" ht="24.95" customHeight="1">
      <c r="A3351" s="1235" t="s">
        <v>6108</v>
      </c>
      <c r="B3351" s="1379" t="s">
        <v>6109</v>
      </c>
      <c r="C3351" s="1374"/>
      <c r="D3351" s="1374"/>
      <c r="E3351" s="1406"/>
      <c r="F3351" s="724">
        <v>2</v>
      </c>
      <c r="G3351" s="724"/>
      <c r="H3351" s="728">
        <f t="shared" si="433"/>
        <v>0</v>
      </c>
      <c r="I3351" s="1375">
        <f t="shared" si="432"/>
        <v>2</v>
      </c>
      <c r="J3351" s="695">
        <f t="shared" si="432"/>
        <v>0</v>
      </c>
      <c r="K3351" s="650">
        <f t="shared" si="434"/>
        <v>0</v>
      </c>
    </row>
    <row r="3352" spans="1:11" ht="24.95" customHeight="1">
      <c r="A3352" s="1234" t="s">
        <v>4845</v>
      </c>
      <c r="B3352" s="1372" t="s">
        <v>4846</v>
      </c>
      <c r="C3352" s="1374"/>
      <c r="D3352" s="1374"/>
      <c r="E3352" s="1406"/>
      <c r="F3352" s="724"/>
      <c r="G3352" s="724"/>
      <c r="H3352" s="728" t="e">
        <f t="shared" si="433"/>
        <v>#DIV/0!</v>
      </c>
      <c r="I3352" s="1375">
        <f t="shared" si="432"/>
        <v>0</v>
      </c>
      <c r="J3352" s="695">
        <f t="shared" si="432"/>
        <v>0</v>
      </c>
      <c r="K3352" s="650" t="e">
        <f t="shared" si="434"/>
        <v>#DIV/0!</v>
      </c>
    </row>
    <row r="3353" spans="1:11" ht="24.95" customHeight="1">
      <c r="A3353" s="456" t="s">
        <v>5504</v>
      </c>
      <c r="B3353" s="1225" t="s">
        <v>5505</v>
      </c>
      <c r="C3353" s="1374"/>
      <c r="D3353" s="1374"/>
      <c r="E3353" s="1406"/>
      <c r="F3353" s="724"/>
      <c r="G3353" s="724">
        <v>1</v>
      </c>
      <c r="H3353" s="728" t="e">
        <f t="shared" si="433"/>
        <v>#DIV/0!</v>
      </c>
      <c r="I3353" s="1375">
        <f t="shared" si="432"/>
        <v>0</v>
      </c>
      <c r="J3353" s="695">
        <f t="shared" si="432"/>
        <v>1</v>
      </c>
      <c r="K3353" s="650" t="e">
        <f t="shared" si="434"/>
        <v>#DIV/0!</v>
      </c>
    </row>
    <row r="3354" spans="1:11" ht="24.95" customHeight="1">
      <c r="A3354" s="456" t="s">
        <v>5565</v>
      </c>
      <c r="B3354" s="1225" t="s">
        <v>5566</v>
      </c>
      <c r="C3354" s="1374"/>
      <c r="D3354" s="1374"/>
      <c r="E3354" s="1406"/>
      <c r="F3354" s="723"/>
      <c r="G3354" s="723"/>
      <c r="H3354" s="728" t="e">
        <f t="shared" si="433"/>
        <v>#DIV/0!</v>
      </c>
      <c r="I3354" s="1375">
        <f t="shared" si="432"/>
        <v>0</v>
      </c>
      <c r="J3354" s="695">
        <f t="shared" si="432"/>
        <v>0</v>
      </c>
      <c r="K3354" s="650" t="e">
        <f t="shared" si="434"/>
        <v>#DIV/0!</v>
      </c>
    </row>
    <row r="3355" spans="1:11" ht="24.95" customHeight="1">
      <c r="A3355" s="456" t="s">
        <v>5567</v>
      </c>
      <c r="B3355" s="1225" t="s">
        <v>5568</v>
      </c>
      <c r="C3355" s="1374"/>
      <c r="D3355" s="1374"/>
      <c r="E3355" s="1406"/>
      <c r="F3355" s="723"/>
      <c r="G3355" s="723"/>
      <c r="H3355" s="728" t="e">
        <f t="shared" si="433"/>
        <v>#DIV/0!</v>
      </c>
      <c r="I3355" s="1375">
        <f t="shared" si="432"/>
        <v>0</v>
      </c>
      <c r="J3355" s="695">
        <f t="shared" si="432"/>
        <v>0</v>
      </c>
      <c r="K3355" s="650" t="e">
        <f t="shared" si="434"/>
        <v>#DIV/0!</v>
      </c>
    </row>
    <row r="3356" spans="1:11" ht="24.95" customHeight="1">
      <c r="A3356" s="1234"/>
      <c r="B3356" s="1372" t="s">
        <v>2</v>
      </c>
      <c r="C3356" s="1374">
        <f t="shared" ref="C3356:J3356" si="435">SUM(C3325:C3355)</f>
        <v>0</v>
      </c>
      <c r="D3356" s="1374">
        <f t="shared" si="435"/>
        <v>0</v>
      </c>
      <c r="E3356" s="1406"/>
      <c r="F3356" s="1374">
        <f t="shared" si="435"/>
        <v>147</v>
      </c>
      <c r="G3356" s="1374">
        <f t="shared" si="435"/>
        <v>51</v>
      </c>
      <c r="H3356" s="728">
        <f t="shared" si="433"/>
        <v>0.34693877551020408</v>
      </c>
      <c r="I3356" s="1407">
        <f t="shared" si="435"/>
        <v>147</v>
      </c>
      <c r="J3356" s="1407">
        <f t="shared" si="435"/>
        <v>51</v>
      </c>
      <c r="K3356" s="650">
        <f t="shared" si="434"/>
        <v>0.34693877551020408</v>
      </c>
    </row>
    <row r="3357" spans="1:11" ht="24.95" customHeight="1">
      <c r="A3357" s="801"/>
      <c r="B3357" s="1408" t="s">
        <v>6110</v>
      </c>
      <c r="C3357" s="1312">
        <f t="shared" ref="C3357:J3357" si="436">+C3323+C3356</f>
        <v>258</v>
      </c>
      <c r="D3357" s="1312">
        <f t="shared" si="436"/>
        <v>40</v>
      </c>
      <c r="E3357" s="1313"/>
      <c r="F3357" s="1312">
        <f t="shared" si="436"/>
        <v>3106</v>
      </c>
      <c r="G3357" s="1312">
        <f t="shared" si="436"/>
        <v>1213</v>
      </c>
      <c r="H3357" s="728">
        <f t="shared" si="433"/>
        <v>0.39053444945267224</v>
      </c>
      <c r="I3357" s="1409">
        <f t="shared" si="436"/>
        <v>3309</v>
      </c>
      <c r="J3357" s="1409">
        <f t="shared" si="436"/>
        <v>1248</v>
      </c>
      <c r="K3357" s="650">
        <f t="shared" si="434"/>
        <v>0.3771532184950136</v>
      </c>
    </row>
    <row r="3358" spans="1:11" ht="24.95" customHeight="1">
      <c r="A3358" s="734"/>
      <c r="B3358" s="1346" t="s">
        <v>2372</v>
      </c>
      <c r="C3358" s="1999"/>
      <c r="D3358" s="1999"/>
      <c r="E3358" s="1999"/>
      <c r="F3358" s="1999"/>
      <c r="G3358" s="1999"/>
      <c r="H3358" s="1999"/>
      <c r="I3358" s="1999"/>
      <c r="J3358" s="149"/>
      <c r="K3358" s="650"/>
    </row>
    <row r="3359" spans="1:11" ht="24.95" customHeight="1">
      <c r="A3359" s="1210"/>
      <c r="B3359" s="1410" t="s">
        <v>6111</v>
      </c>
      <c r="C3359" s="1411"/>
      <c r="D3359" s="1411"/>
      <c r="E3359" s="1412" t="e">
        <f>+D3359/C3359</f>
        <v>#DIV/0!</v>
      </c>
      <c r="F3359" s="1413"/>
      <c r="G3359" s="1413"/>
      <c r="H3359" s="1414" t="e">
        <f>+G3359/F3359</f>
        <v>#DIV/0!</v>
      </c>
      <c r="I3359" s="1375"/>
      <c r="J3359" s="695">
        <f>+D3359+G3359</f>
        <v>0</v>
      </c>
      <c r="K3359" s="650" t="e">
        <f>+J3359/I3359</f>
        <v>#DIV/0!</v>
      </c>
    </row>
    <row r="3360" spans="1:11" ht="24.95" customHeight="1">
      <c r="A3360" s="1276" t="s">
        <v>5165</v>
      </c>
      <c r="B3360" s="1277" t="s">
        <v>5166</v>
      </c>
      <c r="C3360" s="1226">
        <v>0</v>
      </c>
      <c r="D3360" s="1226"/>
      <c r="E3360" s="1412" t="e">
        <f t="shared" ref="E3360:E3423" si="437">+D3360/C3360</f>
        <v>#DIV/0!</v>
      </c>
      <c r="F3360" s="1227">
        <v>4</v>
      </c>
      <c r="G3360" s="1227"/>
      <c r="H3360" s="1414">
        <f t="shared" ref="H3360:H3423" si="438">+G3360/F3360</f>
        <v>0</v>
      </c>
      <c r="I3360" s="1214">
        <f>+C3360+F3360</f>
        <v>4</v>
      </c>
      <c r="J3360" s="695">
        <f t="shared" ref="J3360:J3423" si="439">+D3360+G3360</f>
        <v>0</v>
      </c>
      <c r="K3360" s="650">
        <f t="shared" ref="K3360:K3423" si="440">+J3360/I3360</f>
        <v>0</v>
      </c>
    </row>
    <row r="3361" spans="1:11" ht="24.95" customHeight="1">
      <c r="A3361" s="1376" t="s">
        <v>6112</v>
      </c>
      <c r="B3361" s="1357" t="s">
        <v>2380</v>
      </c>
      <c r="C3361" s="1226"/>
      <c r="D3361" s="1226"/>
      <c r="E3361" s="1412" t="e">
        <f t="shared" si="437"/>
        <v>#DIV/0!</v>
      </c>
      <c r="F3361" s="1226"/>
      <c r="G3361" s="1226"/>
      <c r="H3361" s="1414" t="e">
        <f t="shared" si="438"/>
        <v>#DIV/0!</v>
      </c>
      <c r="I3361" s="1375">
        <f>+C3361+F3361</f>
        <v>0</v>
      </c>
      <c r="J3361" s="695">
        <f t="shared" si="439"/>
        <v>0</v>
      </c>
      <c r="K3361" s="650" t="e">
        <f t="shared" si="440"/>
        <v>#DIV/0!</v>
      </c>
    </row>
    <row r="3362" spans="1:11" ht="24.95" customHeight="1">
      <c r="A3362" s="1415" t="s">
        <v>3505</v>
      </c>
      <c r="B3362" s="1357" t="s">
        <v>3506</v>
      </c>
      <c r="C3362" s="1226"/>
      <c r="D3362" s="1226"/>
      <c r="E3362" s="1412" t="e">
        <f t="shared" si="437"/>
        <v>#DIV/0!</v>
      </c>
      <c r="F3362" s="1226">
        <v>5</v>
      </c>
      <c r="G3362" s="1226"/>
      <c r="H3362" s="1414">
        <f t="shared" si="438"/>
        <v>0</v>
      </c>
      <c r="I3362" s="1375">
        <f>+C3362+F3362</f>
        <v>5</v>
      </c>
      <c r="J3362" s="695">
        <f t="shared" si="439"/>
        <v>0</v>
      </c>
      <c r="K3362" s="650">
        <f t="shared" si="440"/>
        <v>0</v>
      </c>
    </row>
    <row r="3363" spans="1:11" ht="24.95" customHeight="1">
      <c r="A3363" s="1415" t="s">
        <v>3357</v>
      </c>
      <c r="B3363" s="1357" t="s">
        <v>6113</v>
      </c>
      <c r="C3363" s="1226">
        <v>2</v>
      </c>
      <c r="D3363" s="1226"/>
      <c r="E3363" s="1412">
        <f t="shared" si="437"/>
        <v>0</v>
      </c>
      <c r="F3363" s="1226">
        <v>3</v>
      </c>
      <c r="G3363" s="1226"/>
      <c r="H3363" s="1414">
        <f t="shared" si="438"/>
        <v>0</v>
      </c>
      <c r="I3363" s="1375">
        <f>+C3363+F3363</f>
        <v>5</v>
      </c>
      <c r="J3363" s="695">
        <f t="shared" si="439"/>
        <v>0</v>
      </c>
      <c r="K3363" s="650">
        <f t="shared" si="440"/>
        <v>0</v>
      </c>
    </row>
    <row r="3364" spans="1:11" ht="24.95" customHeight="1">
      <c r="A3364" s="1415" t="s">
        <v>3513</v>
      </c>
      <c r="B3364" s="1357" t="s">
        <v>3514</v>
      </c>
      <c r="C3364" s="1226"/>
      <c r="D3364" s="1226"/>
      <c r="E3364" s="1412" t="e">
        <f t="shared" si="437"/>
        <v>#DIV/0!</v>
      </c>
      <c r="F3364" s="1226">
        <v>2</v>
      </c>
      <c r="G3364" s="1226"/>
      <c r="H3364" s="1414">
        <f t="shared" si="438"/>
        <v>0</v>
      </c>
      <c r="I3364" s="1375">
        <f>+C3364+F3364</f>
        <v>2</v>
      </c>
      <c r="J3364" s="695">
        <f t="shared" si="439"/>
        <v>0</v>
      </c>
      <c r="K3364" s="650">
        <f t="shared" si="440"/>
        <v>0</v>
      </c>
    </row>
    <row r="3365" spans="1:11" ht="24.95" customHeight="1">
      <c r="A3365" s="1415" t="s">
        <v>3515</v>
      </c>
      <c r="B3365" s="1357" t="s">
        <v>3516</v>
      </c>
      <c r="C3365" s="1226">
        <v>165</v>
      </c>
      <c r="D3365" s="1226">
        <v>95</v>
      </c>
      <c r="E3365" s="1412">
        <f t="shared" si="437"/>
        <v>0.5757575757575758</v>
      </c>
      <c r="F3365" s="1226">
        <v>30</v>
      </c>
      <c r="G3365" s="1226">
        <v>3</v>
      </c>
      <c r="H3365" s="1414">
        <f t="shared" si="438"/>
        <v>0.1</v>
      </c>
      <c r="I3365" s="1375"/>
      <c r="J3365" s="695">
        <f t="shared" si="439"/>
        <v>98</v>
      </c>
      <c r="K3365" s="650" t="e">
        <f t="shared" si="440"/>
        <v>#DIV/0!</v>
      </c>
    </row>
    <row r="3366" spans="1:11" ht="24.95" customHeight="1">
      <c r="A3366" s="1415" t="s">
        <v>2373</v>
      </c>
      <c r="B3366" s="1357" t="s">
        <v>2374</v>
      </c>
      <c r="C3366" s="1226">
        <v>70</v>
      </c>
      <c r="D3366" s="1226">
        <v>13</v>
      </c>
      <c r="E3366" s="1412">
        <f t="shared" si="437"/>
        <v>0.18571428571428572</v>
      </c>
      <c r="F3366" s="1226">
        <v>10</v>
      </c>
      <c r="G3366" s="1226">
        <v>2</v>
      </c>
      <c r="H3366" s="1414">
        <f t="shared" si="438"/>
        <v>0.2</v>
      </c>
      <c r="I3366" s="1375">
        <f t="shared" ref="I3366:I3394" si="441">+C3366+F3366</f>
        <v>80</v>
      </c>
      <c r="J3366" s="695">
        <f t="shared" si="439"/>
        <v>15</v>
      </c>
      <c r="K3366" s="650">
        <f t="shared" si="440"/>
        <v>0.1875</v>
      </c>
    </row>
    <row r="3367" spans="1:11" ht="24.95" customHeight="1">
      <c r="A3367" s="1415" t="s">
        <v>3517</v>
      </c>
      <c r="B3367" s="1357" t="s">
        <v>3518</v>
      </c>
      <c r="C3367" s="1226">
        <v>45</v>
      </c>
      <c r="D3367" s="1226">
        <v>29</v>
      </c>
      <c r="E3367" s="1412">
        <f t="shared" si="437"/>
        <v>0.64444444444444449</v>
      </c>
      <c r="F3367" s="1226">
        <v>10</v>
      </c>
      <c r="G3367" s="1226">
        <f>5+2</f>
        <v>7</v>
      </c>
      <c r="H3367" s="1414">
        <f t="shared" si="438"/>
        <v>0.7</v>
      </c>
      <c r="I3367" s="1375">
        <f t="shared" si="441"/>
        <v>55</v>
      </c>
      <c r="J3367" s="695">
        <f t="shared" si="439"/>
        <v>36</v>
      </c>
      <c r="K3367" s="650">
        <f t="shared" si="440"/>
        <v>0.65454545454545454</v>
      </c>
    </row>
    <row r="3368" spans="1:11" ht="24.95" customHeight="1">
      <c r="A3368" s="448" t="s">
        <v>2375</v>
      </c>
      <c r="B3368" s="1416" t="s">
        <v>2376</v>
      </c>
      <c r="C3368" s="1226"/>
      <c r="D3368" s="1226"/>
      <c r="E3368" s="1412" t="e">
        <f t="shared" si="437"/>
        <v>#DIV/0!</v>
      </c>
      <c r="F3368" s="1226">
        <v>5</v>
      </c>
      <c r="G3368" s="1226"/>
      <c r="H3368" s="1414">
        <f t="shared" si="438"/>
        <v>0</v>
      </c>
      <c r="I3368" s="1375">
        <f t="shared" si="441"/>
        <v>5</v>
      </c>
      <c r="J3368" s="695">
        <f t="shared" si="439"/>
        <v>0</v>
      </c>
      <c r="K3368" s="650">
        <f t="shared" si="440"/>
        <v>0</v>
      </c>
    </row>
    <row r="3369" spans="1:11" ht="24.95" customHeight="1">
      <c r="A3369" s="448" t="s">
        <v>3950</v>
      </c>
      <c r="B3369" s="1416" t="s">
        <v>3827</v>
      </c>
      <c r="C3369" s="1226"/>
      <c r="D3369" s="1226"/>
      <c r="E3369" s="1412" t="e">
        <f t="shared" si="437"/>
        <v>#DIV/0!</v>
      </c>
      <c r="F3369" s="1226">
        <v>5</v>
      </c>
      <c r="G3369" s="1226"/>
      <c r="H3369" s="1414">
        <f t="shared" si="438"/>
        <v>0</v>
      </c>
      <c r="I3369" s="1375">
        <f t="shared" si="441"/>
        <v>5</v>
      </c>
      <c r="J3369" s="695">
        <f t="shared" si="439"/>
        <v>0</v>
      </c>
      <c r="K3369" s="650">
        <f t="shared" si="440"/>
        <v>0</v>
      </c>
    </row>
    <row r="3370" spans="1:11" ht="24.95" customHeight="1">
      <c r="A3370" s="1376" t="s">
        <v>6114</v>
      </c>
      <c r="B3370" s="1357" t="s">
        <v>6115</v>
      </c>
      <c r="C3370" s="1226">
        <v>110</v>
      </c>
      <c r="D3370" s="1226">
        <v>41</v>
      </c>
      <c r="E3370" s="1412">
        <f t="shared" si="437"/>
        <v>0.37272727272727274</v>
      </c>
      <c r="F3370" s="1226">
        <v>5</v>
      </c>
      <c r="G3370" s="1226"/>
      <c r="H3370" s="1414">
        <f t="shared" si="438"/>
        <v>0</v>
      </c>
      <c r="I3370" s="1375">
        <f t="shared" si="441"/>
        <v>115</v>
      </c>
      <c r="J3370" s="695">
        <f t="shared" si="439"/>
        <v>41</v>
      </c>
      <c r="K3370" s="650">
        <f t="shared" si="440"/>
        <v>0.35652173913043478</v>
      </c>
    </row>
    <row r="3371" spans="1:11" ht="24.95" customHeight="1">
      <c r="A3371" s="1376" t="s">
        <v>6116</v>
      </c>
      <c r="B3371" s="1357" t="s">
        <v>6117</v>
      </c>
      <c r="C3371" s="1226">
        <v>65</v>
      </c>
      <c r="D3371" s="1226">
        <v>30</v>
      </c>
      <c r="E3371" s="1412">
        <f t="shared" si="437"/>
        <v>0.46153846153846156</v>
      </c>
      <c r="F3371" s="1226">
        <v>2</v>
      </c>
      <c r="G3371" s="1226"/>
      <c r="H3371" s="1414">
        <f t="shared" si="438"/>
        <v>0</v>
      </c>
      <c r="I3371" s="1375">
        <f t="shared" si="441"/>
        <v>67</v>
      </c>
      <c r="J3371" s="695">
        <f t="shared" si="439"/>
        <v>30</v>
      </c>
      <c r="K3371" s="650">
        <f t="shared" si="440"/>
        <v>0.44776119402985076</v>
      </c>
    </row>
    <row r="3372" spans="1:11" ht="24.95" customHeight="1">
      <c r="A3372" s="1376" t="s">
        <v>3013</v>
      </c>
      <c r="B3372" s="1379" t="s">
        <v>2388</v>
      </c>
      <c r="C3372" s="1226">
        <v>10</v>
      </c>
      <c r="D3372" s="1226">
        <v>4</v>
      </c>
      <c r="E3372" s="1412">
        <f t="shared" si="437"/>
        <v>0.4</v>
      </c>
      <c r="F3372" s="1226">
        <v>10</v>
      </c>
      <c r="G3372" s="1226"/>
      <c r="H3372" s="1414">
        <f t="shared" si="438"/>
        <v>0</v>
      </c>
      <c r="I3372" s="1375">
        <f t="shared" si="441"/>
        <v>20</v>
      </c>
      <c r="J3372" s="695">
        <f t="shared" si="439"/>
        <v>4</v>
      </c>
      <c r="K3372" s="650">
        <f t="shared" si="440"/>
        <v>0.2</v>
      </c>
    </row>
    <row r="3373" spans="1:11" ht="24.95" customHeight="1">
      <c r="A3373" s="1376" t="s">
        <v>3115</v>
      </c>
      <c r="B3373" s="1357" t="s">
        <v>3053</v>
      </c>
      <c r="C3373" s="1226">
        <v>2</v>
      </c>
      <c r="D3373" s="1226"/>
      <c r="E3373" s="1412">
        <f t="shared" si="437"/>
        <v>0</v>
      </c>
      <c r="F3373" s="1226">
        <v>530</v>
      </c>
      <c r="G3373" s="1226">
        <v>76</v>
      </c>
      <c r="H3373" s="1414">
        <f t="shared" si="438"/>
        <v>0.14339622641509434</v>
      </c>
      <c r="I3373" s="1375">
        <f t="shared" si="441"/>
        <v>532</v>
      </c>
      <c r="J3373" s="695">
        <f t="shared" si="439"/>
        <v>76</v>
      </c>
      <c r="K3373" s="650">
        <f t="shared" si="440"/>
        <v>0.14285714285714285</v>
      </c>
    </row>
    <row r="3374" spans="1:11" ht="24.95" customHeight="1">
      <c r="A3374" s="1376">
        <v>130207</v>
      </c>
      <c r="B3374" s="1357" t="s">
        <v>2390</v>
      </c>
      <c r="C3374" s="1226">
        <v>10</v>
      </c>
      <c r="D3374" s="1226">
        <v>3</v>
      </c>
      <c r="E3374" s="1412">
        <f t="shared" si="437"/>
        <v>0.3</v>
      </c>
      <c r="F3374" s="1226">
        <v>40</v>
      </c>
      <c r="G3374" s="1226">
        <v>12</v>
      </c>
      <c r="H3374" s="1414">
        <f t="shared" si="438"/>
        <v>0.3</v>
      </c>
      <c r="I3374" s="1375">
        <f t="shared" si="441"/>
        <v>50</v>
      </c>
      <c r="J3374" s="695">
        <f t="shared" si="439"/>
        <v>15</v>
      </c>
      <c r="K3374" s="650">
        <f t="shared" si="440"/>
        <v>0.3</v>
      </c>
    </row>
    <row r="3375" spans="1:11" ht="24.95" customHeight="1">
      <c r="A3375" s="1376" t="s">
        <v>6118</v>
      </c>
      <c r="B3375" s="1357" t="s">
        <v>6119</v>
      </c>
      <c r="C3375" s="1226"/>
      <c r="D3375" s="1226"/>
      <c r="E3375" s="1412" t="e">
        <f t="shared" si="437"/>
        <v>#DIV/0!</v>
      </c>
      <c r="F3375" s="1226"/>
      <c r="G3375" s="1226"/>
      <c r="H3375" s="1414" t="e">
        <f t="shared" si="438"/>
        <v>#DIV/0!</v>
      </c>
      <c r="I3375" s="1375">
        <f t="shared" si="441"/>
        <v>0</v>
      </c>
      <c r="J3375" s="695">
        <f t="shared" si="439"/>
        <v>0</v>
      </c>
      <c r="K3375" s="650" t="e">
        <f t="shared" si="440"/>
        <v>#DIV/0!</v>
      </c>
    </row>
    <row r="3376" spans="1:11" ht="24.95" customHeight="1">
      <c r="A3376" s="1376" t="s">
        <v>2393</v>
      </c>
      <c r="B3376" s="1357" t="s">
        <v>2394</v>
      </c>
      <c r="C3376" s="1226"/>
      <c r="D3376" s="1226"/>
      <c r="E3376" s="1412" t="e">
        <f t="shared" si="437"/>
        <v>#DIV/0!</v>
      </c>
      <c r="F3376" s="1226">
        <v>15</v>
      </c>
      <c r="G3376" s="1226">
        <v>2</v>
      </c>
      <c r="H3376" s="1414">
        <f t="shared" si="438"/>
        <v>0.13333333333333333</v>
      </c>
      <c r="I3376" s="1375">
        <f t="shared" si="441"/>
        <v>15</v>
      </c>
      <c r="J3376" s="695">
        <f t="shared" si="439"/>
        <v>2</v>
      </c>
      <c r="K3376" s="650">
        <f t="shared" si="440"/>
        <v>0.13333333333333333</v>
      </c>
    </row>
    <row r="3377" spans="1:11" ht="24.95" customHeight="1">
      <c r="A3377" s="1376" t="s">
        <v>2395</v>
      </c>
      <c r="B3377" s="1357" t="s">
        <v>2396</v>
      </c>
      <c r="C3377" s="1226"/>
      <c r="D3377" s="1226"/>
      <c r="E3377" s="1412" t="e">
        <f t="shared" si="437"/>
        <v>#DIV/0!</v>
      </c>
      <c r="F3377" s="1226">
        <v>330</v>
      </c>
      <c r="G3377" s="1226">
        <v>174</v>
      </c>
      <c r="H3377" s="1414">
        <f t="shared" si="438"/>
        <v>0.52727272727272723</v>
      </c>
      <c r="I3377" s="1375">
        <f t="shared" si="441"/>
        <v>330</v>
      </c>
      <c r="J3377" s="695">
        <f t="shared" si="439"/>
        <v>174</v>
      </c>
      <c r="K3377" s="650">
        <f t="shared" si="440"/>
        <v>0.52727272727272723</v>
      </c>
    </row>
    <row r="3378" spans="1:11" ht="24.95" customHeight="1">
      <c r="A3378" s="1376" t="s">
        <v>5222</v>
      </c>
      <c r="B3378" s="1357" t="s">
        <v>2398</v>
      </c>
      <c r="C3378" s="1226"/>
      <c r="D3378" s="1226"/>
      <c r="E3378" s="1412" t="e">
        <f t="shared" si="437"/>
        <v>#DIV/0!</v>
      </c>
      <c r="F3378" s="1226">
        <v>5</v>
      </c>
      <c r="G3378" s="1226"/>
      <c r="H3378" s="1414">
        <f t="shared" si="438"/>
        <v>0</v>
      </c>
      <c r="I3378" s="1375">
        <f t="shared" si="441"/>
        <v>5</v>
      </c>
      <c r="J3378" s="695">
        <f t="shared" si="439"/>
        <v>0</v>
      </c>
      <c r="K3378" s="650">
        <f t="shared" si="440"/>
        <v>0</v>
      </c>
    </row>
    <row r="3379" spans="1:11" ht="24.95" customHeight="1">
      <c r="A3379" s="1376" t="s">
        <v>5222</v>
      </c>
      <c r="B3379" s="1357" t="s">
        <v>6120</v>
      </c>
      <c r="C3379" s="1226"/>
      <c r="D3379" s="1226"/>
      <c r="E3379" s="1412" t="e">
        <f t="shared" si="437"/>
        <v>#DIV/0!</v>
      </c>
      <c r="F3379" s="1226">
        <v>2</v>
      </c>
      <c r="G3379" s="1226"/>
      <c r="H3379" s="1414">
        <f t="shared" si="438"/>
        <v>0</v>
      </c>
      <c r="I3379" s="1375">
        <f t="shared" si="441"/>
        <v>2</v>
      </c>
      <c r="J3379" s="695">
        <f t="shared" si="439"/>
        <v>0</v>
      </c>
      <c r="K3379" s="650">
        <f t="shared" si="440"/>
        <v>0</v>
      </c>
    </row>
    <row r="3380" spans="1:11" ht="24.95" customHeight="1">
      <c r="A3380" s="1376" t="s">
        <v>3957</v>
      </c>
      <c r="B3380" s="1357" t="s">
        <v>3958</v>
      </c>
      <c r="C3380" s="1226"/>
      <c r="D3380" s="1226"/>
      <c r="E3380" s="1412" t="e">
        <f t="shared" si="437"/>
        <v>#DIV/0!</v>
      </c>
      <c r="F3380" s="1226">
        <v>2</v>
      </c>
      <c r="G3380" s="1226"/>
      <c r="H3380" s="1414">
        <f t="shared" si="438"/>
        <v>0</v>
      </c>
      <c r="I3380" s="1375">
        <f t="shared" si="441"/>
        <v>2</v>
      </c>
      <c r="J3380" s="695">
        <f t="shared" si="439"/>
        <v>0</v>
      </c>
      <c r="K3380" s="650">
        <f t="shared" si="440"/>
        <v>0</v>
      </c>
    </row>
    <row r="3381" spans="1:11" ht="24.95" customHeight="1">
      <c r="A3381" s="1376" t="s">
        <v>2409</v>
      </c>
      <c r="B3381" s="1357" t="s">
        <v>6121</v>
      </c>
      <c r="C3381" s="1226"/>
      <c r="D3381" s="1226"/>
      <c r="E3381" s="1412" t="e">
        <f t="shared" si="437"/>
        <v>#DIV/0!</v>
      </c>
      <c r="F3381" s="1226">
        <v>20</v>
      </c>
      <c r="G3381" s="1226"/>
      <c r="H3381" s="1414">
        <f t="shared" si="438"/>
        <v>0</v>
      </c>
      <c r="I3381" s="1375">
        <f t="shared" si="441"/>
        <v>20</v>
      </c>
      <c r="J3381" s="695">
        <f t="shared" si="439"/>
        <v>0</v>
      </c>
      <c r="K3381" s="650">
        <f t="shared" si="440"/>
        <v>0</v>
      </c>
    </row>
    <row r="3382" spans="1:11" ht="24.95" customHeight="1">
      <c r="A3382" s="1376" t="s">
        <v>2401</v>
      </c>
      <c r="B3382" s="1357" t="s">
        <v>2402</v>
      </c>
      <c r="C3382" s="1226">
        <v>30</v>
      </c>
      <c r="D3382" s="1226">
        <v>15</v>
      </c>
      <c r="E3382" s="1412">
        <f t="shared" si="437"/>
        <v>0.5</v>
      </c>
      <c r="F3382" s="1226">
        <v>3210</v>
      </c>
      <c r="G3382" s="1226">
        <f>1149+179</f>
        <v>1328</v>
      </c>
      <c r="H3382" s="1414">
        <f t="shared" si="438"/>
        <v>0.41370716510903427</v>
      </c>
      <c r="I3382" s="1375">
        <f t="shared" si="441"/>
        <v>3240</v>
      </c>
      <c r="J3382" s="695">
        <f t="shared" si="439"/>
        <v>1343</v>
      </c>
      <c r="K3382" s="650">
        <f t="shared" si="440"/>
        <v>0.41450617283950619</v>
      </c>
    </row>
    <row r="3383" spans="1:11" ht="24.95" customHeight="1">
      <c r="A3383" s="1376" t="s">
        <v>2403</v>
      </c>
      <c r="B3383" s="1357" t="s">
        <v>2404</v>
      </c>
      <c r="C3383" s="1226"/>
      <c r="D3383" s="1226"/>
      <c r="E3383" s="1412" t="e">
        <f t="shared" si="437"/>
        <v>#DIV/0!</v>
      </c>
      <c r="F3383" s="1226">
        <v>2</v>
      </c>
      <c r="G3383" s="1226">
        <v>1</v>
      </c>
      <c r="H3383" s="1414">
        <f t="shared" si="438"/>
        <v>0.5</v>
      </c>
      <c r="I3383" s="1375">
        <f t="shared" si="441"/>
        <v>2</v>
      </c>
      <c r="J3383" s="695">
        <f t="shared" si="439"/>
        <v>1</v>
      </c>
      <c r="K3383" s="650">
        <f t="shared" si="440"/>
        <v>0.5</v>
      </c>
    </row>
    <row r="3384" spans="1:11" ht="24.95" customHeight="1">
      <c r="A3384" s="1376" t="s">
        <v>2805</v>
      </c>
      <c r="B3384" s="1357" t="s">
        <v>3547</v>
      </c>
      <c r="C3384" s="1226">
        <v>1</v>
      </c>
      <c r="D3384" s="1226"/>
      <c r="E3384" s="1412">
        <f t="shared" si="437"/>
        <v>0</v>
      </c>
      <c r="F3384" s="1226">
        <v>550</v>
      </c>
      <c r="G3384" s="1226">
        <f>128+7</f>
        <v>135</v>
      </c>
      <c r="H3384" s="1414">
        <f t="shared" si="438"/>
        <v>0.24545454545454545</v>
      </c>
      <c r="I3384" s="1375">
        <f t="shared" si="441"/>
        <v>551</v>
      </c>
      <c r="J3384" s="695">
        <f t="shared" si="439"/>
        <v>135</v>
      </c>
      <c r="K3384" s="650">
        <f t="shared" si="440"/>
        <v>0.24500907441016334</v>
      </c>
    </row>
    <row r="3385" spans="1:11" ht="24.95" customHeight="1">
      <c r="A3385" s="1376">
        <v>241024</v>
      </c>
      <c r="B3385" s="1357" t="s">
        <v>6122</v>
      </c>
      <c r="C3385" s="1226">
        <v>1</v>
      </c>
      <c r="D3385" s="1226"/>
      <c r="E3385" s="1412">
        <f t="shared" si="437"/>
        <v>0</v>
      </c>
      <c r="F3385" s="1226"/>
      <c r="G3385" s="1226"/>
      <c r="H3385" s="1414" t="e">
        <f t="shared" si="438"/>
        <v>#DIV/0!</v>
      </c>
      <c r="I3385" s="1375">
        <f t="shared" si="441"/>
        <v>1</v>
      </c>
      <c r="J3385" s="695">
        <f t="shared" si="439"/>
        <v>0</v>
      </c>
      <c r="K3385" s="650">
        <f t="shared" si="440"/>
        <v>0</v>
      </c>
    </row>
    <row r="3386" spans="1:11" ht="24.95" customHeight="1">
      <c r="A3386" s="1376" t="s">
        <v>6123</v>
      </c>
      <c r="B3386" s="1357" t="s">
        <v>6124</v>
      </c>
      <c r="C3386" s="1226"/>
      <c r="D3386" s="1226"/>
      <c r="E3386" s="1412" t="e">
        <f t="shared" si="437"/>
        <v>#DIV/0!</v>
      </c>
      <c r="F3386" s="1226"/>
      <c r="G3386" s="1226"/>
      <c r="H3386" s="1414" t="e">
        <f t="shared" si="438"/>
        <v>#DIV/0!</v>
      </c>
      <c r="I3386" s="1375">
        <f t="shared" si="441"/>
        <v>0</v>
      </c>
      <c r="J3386" s="695">
        <f t="shared" si="439"/>
        <v>0</v>
      </c>
      <c r="K3386" s="650" t="e">
        <f t="shared" si="440"/>
        <v>#DIV/0!</v>
      </c>
    </row>
    <row r="3387" spans="1:11" ht="24.95" customHeight="1">
      <c r="A3387" s="1376" t="s">
        <v>6125</v>
      </c>
      <c r="B3387" s="1357" t="s">
        <v>6126</v>
      </c>
      <c r="C3387" s="1226"/>
      <c r="D3387" s="1226"/>
      <c r="E3387" s="1412" t="e">
        <f t="shared" si="437"/>
        <v>#DIV/0!</v>
      </c>
      <c r="F3387" s="1226"/>
      <c r="G3387" s="1226"/>
      <c r="H3387" s="1414" t="e">
        <f t="shared" si="438"/>
        <v>#DIV/0!</v>
      </c>
      <c r="I3387" s="1375">
        <f t="shared" si="441"/>
        <v>0</v>
      </c>
      <c r="J3387" s="695">
        <f t="shared" si="439"/>
        <v>0</v>
      </c>
      <c r="K3387" s="650" t="e">
        <f t="shared" si="440"/>
        <v>#DIV/0!</v>
      </c>
    </row>
    <row r="3388" spans="1:11" ht="24.95" customHeight="1">
      <c r="A3388" s="1376" t="s">
        <v>3117</v>
      </c>
      <c r="B3388" s="1357" t="s">
        <v>3118</v>
      </c>
      <c r="C3388" s="1226"/>
      <c r="D3388" s="1226"/>
      <c r="E3388" s="1412" t="e">
        <f t="shared" si="437"/>
        <v>#DIV/0!</v>
      </c>
      <c r="F3388" s="1226"/>
      <c r="G3388" s="1226"/>
      <c r="H3388" s="1414" t="e">
        <f t="shared" si="438"/>
        <v>#DIV/0!</v>
      </c>
      <c r="I3388" s="1375">
        <f t="shared" si="441"/>
        <v>0</v>
      </c>
      <c r="J3388" s="695">
        <f t="shared" si="439"/>
        <v>0</v>
      </c>
      <c r="K3388" s="650" t="e">
        <f t="shared" si="440"/>
        <v>#DIV/0!</v>
      </c>
    </row>
    <row r="3389" spans="1:11" ht="24.95" customHeight="1">
      <c r="A3389" s="1376" t="s">
        <v>3125</v>
      </c>
      <c r="B3389" s="1357" t="s">
        <v>3126</v>
      </c>
      <c r="C3389" s="1226"/>
      <c r="D3389" s="1226"/>
      <c r="E3389" s="1412" t="e">
        <f t="shared" si="437"/>
        <v>#DIV/0!</v>
      </c>
      <c r="F3389" s="1226"/>
      <c r="G3389" s="1226"/>
      <c r="H3389" s="1414" t="e">
        <f t="shared" si="438"/>
        <v>#DIV/0!</v>
      </c>
      <c r="I3389" s="1375">
        <f t="shared" si="441"/>
        <v>0</v>
      </c>
      <c r="J3389" s="695">
        <f t="shared" si="439"/>
        <v>0</v>
      </c>
      <c r="K3389" s="650" t="e">
        <f t="shared" si="440"/>
        <v>#DIV/0!</v>
      </c>
    </row>
    <row r="3390" spans="1:11" ht="24.95" customHeight="1">
      <c r="A3390" s="1376">
        <v>260092</v>
      </c>
      <c r="B3390" s="1357" t="s">
        <v>4113</v>
      </c>
      <c r="C3390" s="1226"/>
      <c r="D3390" s="1226">
        <v>9</v>
      </c>
      <c r="E3390" s="1412" t="e">
        <f t="shared" si="437"/>
        <v>#DIV/0!</v>
      </c>
      <c r="F3390" s="1226">
        <v>12</v>
      </c>
      <c r="G3390" s="1226">
        <f>36+7</f>
        <v>43</v>
      </c>
      <c r="H3390" s="1414">
        <f t="shared" si="438"/>
        <v>3.5833333333333335</v>
      </c>
      <c r="I3390" s="1375">
        <f t="shared" si="441"/>
        <v>12</v>
      </c>
      <c r="J3390" s="695">
        <f t="shared" si="439"/>
        <v>52</v>
      </c>
      <c r="K3390" s="650">
        <f t="shared" si="440"/>
        <v>4.333333333333333</v>
      </c>
    </row>
    <row r="3391" spans="1:11" ht="24.95" customHeight="1">
      <c r="A3391" s="1376">
        <v>260101</v>
      </c>
      <c r="B3391" s="1357" t="s">
        <v>3020</v>
      </c>
      <c r="C3391" s="1226"/>
      <c r="D3391" s="1226"/>
      <c r="E3391" s="1412" t="e">
        <f t="shared" si="437"/>
        <v>#DIV/0!</v>
      </c>
      <c r="F3391" s="1226">
        <v>10</v>
      </c>
      <c r="G3391" s="1226">
        <v>6</v>
      </c>
      <c r="H3391" s="1414">
        <f t="shared" si="438"/>
        <v>0.6</v>
      </c>
      <c r="I3391" s="1375">
        <f t="shared" si="441"/>
        <v>10</v>
      </c>
      <c r="J3391" s="695">
        <f t="shared" si="439"/>
        <v>6</v>
      </c>
      <c r="K3391" s="650">
        <f t="shared" si="440"/>
        <v>0.6</v>
      </c>
    </row>
    <row r="3392" spans="1:11" ht="24.95" customHeight="1">
      <c r="A3392" s="1376" t="s">
        <v>5233</v>
      </c>
      <c r="B3392" s="1357" t="s">
        <v>5234</v>
      </c>
      <c r="C3392" s="1226"/>
      <c r="D3392" s="1226"/>
      <c r="E3392" s="1412" t="e">
        <f t="shared" si="437"/>
        <v>#DIV/0!</v>
      </c>
      <c r="F3392" s="1226">
        <v>40</v>
      </c>
      <c r="G3392" s="1226">
        <v>18</v>
      </c>
      <c r="H3392" s="1414">
        <f t="shared" si="438"/>
        <v>0.45</v>
      </c>
      <c r="I3392" s="1375">
        <f t="shared" si="441"/>
        <v>40</v>
      </c>
      <c r="J3392" s="695">
        <f t="shared" si="439"/>
        <v>18</v>
      </c>
      <c r="K3392" s="650">
        <f t="shared" si="440"/>
        <v>0.45</v>
      </c>
    </row>
    <row r="3393" spans="1:11" ht="24.95" customHeight="1">
      <c r="A3393" s="1376" t="s">
        <v>2419</v>
      </c>
      <c r="B3393" s="1357" t="s">
        <v>4114</v>
      </c>
      <c r="C3393" s="1226">
        <v>140</v>
      </c>
      <c r="D3393" s="1226">
        <v>62</v>
      </c>
      <c r="E3393" s="1412">
        <f t="shared" si="437"/>
        <v>0.44285714285714284</v>
      </c>
      <c r="F3393" s="1226">
        <v>950</v>
      </c>
      <c r="G3393" s="1226">
        <v>18</v>
      </c>
      <c r="H3393" s="1414">
        <f t="shared" si="438"/>
        <v>1.8947368421052633E-2</v>
      </c>
      <c r="I3393" s="1375">
        <f t="shared" si="441"/>
        <v>1090</v>
      </c>
      <c r="J3393" s="695">
        <f t="shared" si="439"/>
        <v>80</v>
      </c>
      <c r="K3393" s="650">
        <f t="shared" si="440"/>
        <v>7.3394495412844041E-2</v>
      </c>
    </row>
    <row r="3394" spans="1:11" ht="24.95" customHeight="1">
      <c r="A3394" s="1376" t="s">
        <v>2421</v>
      </c>
      <c r="B3394" s="1357" t="s">
        <v>2422</v>
      </c>
      <c r="C3394" s="1226">
        <v>5</v>
      </c>
      <c r="D3394" s="1226"/>
      <c r="E3394" s="1412">
        <f t="shared" si="437"/>
        <v>0</v>
      </c>
      <c r="F3394" s="1226">
        <v>10</v>
      </c>
      <c r="G3394" s="1226">
        <v>3</v>
      </c>
      <c r="H3394" s="1414">
        <f t="shared" si="438"/>
        <v>0.3</v>
      </c>
      <c r="I3394" s="1375">
        <f t="shared" si="441"/>
        <v>15</v>
      </c>
      <c r="J3394" s="695">
        <f t="shared" si="439"/>
        <v>3</v>
      </c>
      <c r="K3394" s="650">
        <f t="shared" si="440"/>
        <v>0.2</v>
      </c>
    </row>
    <row r="3395" spans="1:11" ht="24.95" customHeight="1">
      <c r="A3395" s="1376" t="s">
        <v>5168</v>
      </c>
      <c r="B3395" s="1357" t="s">
        <v>6127</v>
      </c>
      <c r="C3395" s="1226"/>
      <c r="D3395" s="1226"/>
      <c r="E3395" s="1412" t="e">
        <f t="shared" si="437"/>
        <v>#DIV/0!</v>
      </c>
      <c r="F3395" s="1226">
        <v>15</v>
      </c>
      <c r="G3395" s="1226">
        <v>3</v>
      </c>
      <c r="H3395" s="1414">
        <f t="shared" si="438"/>
        <v>0.2</v>
      </c>
      <c r="I3395" s="1375"/>
      <c r="J3395" s="695">
        <f t="shared" si="439"/>
        <v>3</v>
      </c>
      <c r="K3395" s="650" t="e">
        <f t="shared" si="440"/>
        <v>#DIV/0!</v>
      </c>
    </row>
    <row r="3396" spans="1:11" ht="24.95" customHeight="1">
      <c r="A3396" s="1376" t="s">
        <v>4728</v>
      </c>
      <c r="B3396" s="1357" t="s">
        <v>6127</v>
      </c>
      <c r="C3396" s="1226"/>
      <c r="D3396" s="1226"/>
      <c r="E3396" s="1412" t="e">
        <f t="shared" si="437"/>
        <v>#DIV/0!</v>
      </c>
      <c r="F3396" s="1226">
        <v>3</v>
      </c>
      <c r="G3396" s="1226"/>
      <c r="H3396" s="1414">
        <f t="shared" si="438"/>
        <v>0</v>
      </c>
      <c r="I3396" s="1375">
        <f t="shared" ref="I3396:J3431" si="442">+C3396+F3396</f>
        <v>3</v>
      </c>
      <c r="J3396" s="695">
        <f t="shared" si="439"/>
        <v>0</v>
      </c>
      <c r="K3396" s="650">
        <f t="shared" si="440"/>
        <v>0</v>
      </c>
    </row>
    <row r="3397" spans="1:11" ht="24.95" customHeight="1">
      <c r="A3397" s="1376" t="s">
        <v>3555</v>
      </c>
      <c r="B3397" s="1357" t="s">
        <v>6128</v>
      </c>
      <c r="C3397" s="1226">
        <v>90</v>
      </c>
      <c r="D3397" s="1226">
        <v>50</v>
      </c>
      <c r="E3397" s="1412">
        <f t="shared" si="437"/>
        <v>0.55555555555555558</v>
      </c>
      <c r="F3397" s="1226">
        <v>30</v>
      </c>
      <c r="G3397" s="1226">
        <f>3+10</f>
        <v>13</v>
      </c>
      <c r="H3397" s="1414">
        <f t="shared" si="438"/>
        <v>0.43333333333333335</v>
      </c>
      <c r="I3397" s="1375">
        <f t="shared" si="442"/>
        <v>120</v>
      </c>
      <c r="J3397" s="695">
        <f t="shared" si="439"/>
        <v>63</v>
      </c>
      <c r="K3397" s="650">
        <f t="shared" si="440"/>
        <v>0.52500000000000002</v>
      </c>
    </row>
    <row r="3398" spans="1:11" ht="24.95" customHeight="1">
      <c r="A3398" s="1376" t="s">
        <v>6129</v>
      </c>
      <c r="B3398" s="1357" t="s">
        <v>4911</v>
      </c>
      <c r="C3398" s="1226">
        <v>10</v>
      </c>
      <c r="D3398" s="1226"/>
      <c r="E3398" s="1412">
        <f t="shared" si="437"/>
        <v>0</v>
      </c>
      <c r="F3398" s="1226">
        <v>5</v>
      </c>
      <c r="G3398" s="1226">
        <v>3</v>
      </c>
      <c r="H3398" s="1414">
        <f t="shared" si="438"/>
        <v>0.6</v>
      </c>
      <c r="I3398" s="1375">
        <f t="shared" si="442"/>
        <v>15</v>
      </c>
      <c r="J3398" s="695">
        <f t="shared" si="439"/>
        <v>3</v>
      </c>
      <c r="K3398" s="650">
        <f t="shared" si="440"/>
        <v>0.2</v>
      </c>
    </row>
    <row r="3399" spans="1:11" ht="24.95" customHeight="1">
      <c r="A3399" s="1376" t="s">
        <v>3557</v>
      </c>
      <c r="B3399" s="1357" t="s">
        <v>4115</v>
      </c>
      <c r="C3399" s="1226">
        <v>20</v>
      </c>
      <c r="D3399" s="1226">
        <v>7</v>
      </c>
      <c r="E3399" s="1412">
        <f t="shared" si="437"/>
        <v>0.35</v>
      </c>
      <c r="F3399" s="1226">
        <v>20</v>
      </c>
      <c r="G3399" s="1226"/>
      <c r="H3399" s="1414">
        <f t="shared" si="438"/>
        <v>0</v>
      </c>
      <c r="I3399" s="1375">
        <f t="shared" si="442"/>
        <v>40</v>
      </c>
      <c r="J3399" s="695">
        <f t="shared" si="439"/>
        <v>7</v>
      </c>
      <c r="K3399" s="650">
        <f t="shared" si="440"/>
        <v>0.17499999999999999</v>
      </c>
    </row>
    <row r="3400" spans="1:11" ht="24.95" customHeight="1">
      <c r="A3400" s="1376" t="s">
        <v>3559</v>
      </c>
      <c r="B3400" s="1357" t="s">
        <v>3560</v>
      </c>
      <c r="C3400" s="1226"/>
      <c r="D3400" s="1226"/>
      <c r="E3400" s="1412" t="e">
        <f t="shared" si="437"/>
        <v>#DIV/0!</v>
      </c>
      <c r="F3400" s="1226">
        <v>2</v>
      </c>
      <c r="G3400" s="1226"/>
      <c r="H3400" s="1414">
        <f t="shared" si="438"/>
        <v>0</v>
      </c>
      <c r="I3400" s="1375">
        <f t="shared" si="442"/>
        <v>2</v>
      </c>
      <c r="J3400" s="695">
        <f t="shared" si="439"/>
        <v>0</v>
      </c>
      <c r="K3400" s="650">
        <f t="shared" si="440"/>
        <v>0</v>
      </c>
    </row>
    <row r="3401" spans="1:11" ht="24.95" customHeight="1">
      <c r="A3401" s="1376" t="s">
        <v>2423</v>
      </c>
      <c r="B3401" s="1357" t="s">
        <v>2424</v>
      </c>
      <c r="C3401" s="1226">
        <v>11370</v>
      </c>
      <c r="D3401" s="1226">
        <f>4938+46</f>
        <v>4984</v>
      </c>
      <c r="E3401" s="1412">
        <f t="shared" si="437"/>
        <v>0.43834652594547052</v>
      </c>
      <c r="F3401" s="1226">
        <v>3700</v>
      </c>
      <c r="G3401" s="1226">
        <f>1684+88+201</f>
        <v>1973</v>
      </c>
      <c r="H3401" s="1414">
        <f t="shared" si="438"/>
        <v>0.53324324324324324</v>
      </c>
      <c r="I3401" s="1375">
        <f t="shared" si="442"/>
        <v>15070</v>
      </c>
      <c r="J3401" s="695">
        <f t="shared" si="439"/>
        <v>6957</v>
      </c>
      <c r="K3401" s="650">
        <f t="shared" si="440"/>
        <v>0.46164565361645654</v>
      </c>
    </row>
    <row r="3402" spans="1:11" ht="24.95" customHeight="1">
      <c r="A3402" s="1376" t="s">
        <v>3563</v>
      </c>
      <c r="B3402" s="1357" t="s">
        <v>3564</v>
      </c>
      <c r="C3402" s="1226">
        <v>1</v>
      </c>
      <c r="D3402" s="1226">
        <v>3</v>
      </c>
      <c r="E3402" s="1412">
        <f t="shared" si="437"/>
        <v>3</v>
      </c>
      <c r="F3402" s="1226">
        <v>2</v>
      </c>
      <c r="G3402" s="1226"/>
      <c r="H3402" s="1414">
        <f t="shared" si="438"/>
        <v>0</v>
      </c>
      <c r="I3402" s="1375">
        <f t="shared" si="442"/>
        <v>3</v>
      </c>
      <c r="J3402" s="695">
        <f t="shared" si="439"/>
        <v>3</v>
      </c>
      <c r="K3402" s="650">
        <f t="shared" si="440"/>
        <v>1</v>
      </c>
    </row>
    <row r="3403" spans="1:11" ht="24.95" customHeight="1">
      <c r="A3403" s="1376" t="s">
        <v>3567</v>
      </c>
      <c r="B3403" s="1357" t="s">
        <v>3568</v>
      </c>
      <c r="C3403" s="1226">
        <v>25</v>
      </c>
      <c r="D3403" s="1226">
        <v>17</v>
      </c>
      <c r="E3403" s="1412">
        <f t="shared" si="437"/>
        <v>0.68</v>
      </c>
      <c r="F3403" s="1226">
        <v>3</v>
      </c>
      <c r="G3403" s="1226"/>
      <c r="H3403" s="1414">
        <f t="shared" si="438"/>
        <v>0</v>
      </c>
      <c r="I3403" s="1375">
        <f t="shared" si="442"/>
        <v>28</v>
      </c>
      <c r="J3403" s="695">
        <f t="shared" si="439"/>
        <v>17</v>
      </c>
      <c r="K3403" s="650">
        <f t="shared" si="440"/>
        <v>0.6071428571428571</v>
      </c>
    </row>
    <row r="3404" spans="1:11" ht="24.95" customHeight="1">
      <c r="A3404" s="1376" t="s">
        <v>6130</v>
      </c>
      <c r="B3404" s="1357" t="s">
        <v>6131</v>
      </c>
      <c r="C3404" s="1226"/>
      <c r="D3404" s="1226"/>
      <c r="E3404" s="1412" t="e">
        <f t="shared" si="437"/>
        <v>#DIV/0!</v>
      </c>
      <c r="F3404" s="1226">
        <v>3</v>
      </c>
      <c r="G3404" s="1226"/>
      <c r="H3404" s="1414">
        <f t="shared" si="438"/>
        <v>0</v>
      </c>
      <c r="I3404" s="1375">
        <f t="shared" si="442"/>
        <v>3</v>
      </c>
      <c r="J3404" s="695">
        <f t="shared" si="439"/>
        <v>0</v>
      </c>
      <c r="K3404" s="650">
        <f t="shared" si="440"/>
        <v>0</v>
      </c>
    </row>
    <row r="3405" spans="1:11" ht="24.95" customHeight="1">
      <c r="A3405" s="1376" t="s">
        <v>6132</v>
      </c>
      <c r="B3405" s="1357" t="s">
        <v>6133</v>
      </c>
      <c r="C3405" s="1226"/>
      <c r="D3405" s="1226"/>
      <c r="E3405" s="1412" t="e">
        <f t="shared" si="437"/>
        <v>#DIV/0!</v>
      </c>
      <c r="F3405" s="1226">
        <v>3</v>
      </c>
      <c r="G3405" s="1226"/>
      <c r="H3405" s="1414">
        <f t="shared" si="438"/>
        <v>0</v>
      </c>
      <c r="I3405" s="1375">
        <f t="shared" si="442"/>
        <v>3</v>
      </c>
      <c r="J3405" s="695">
        <f t="shared" si="439"/>
        <v>0</v>
      </c>
      <c r="K3405" s="650">
        <f t="shared" si="440"/>
        <v>0</v>
      </c>
    </row>
    <row r="3406" spans="1:11" ht="24.95" customHeight="1">
      <c r="A3406" s="1376" t="s">
        <v>6134</v>
      </c>
      <c r="B3406" s="1357" t="s">
        <v>6135</v>
      </c>
      <c r="C3406" s="1226"/>
      <c r="D3406" s="1226"/>
      <c r="E3406" s="1412" t="e">
        <f t="shared" si="437"/>
        <v>#DIV/0!</v>
      </c>
      <c r="F3406" s="1226">
        <v>3</v>
      </c>
      <c r="G3406" s="1226">
        <v>1</v>
      </c>
      <c r="H3406" s="1414">
        <f t="shared" si="438"/>
        <v>0.33333333333333331</v>
      </c>
      <c r="I3406" s="1375">
        <f t="shared" si="442"/>
        <v>3</v>
      </c>
      <c r="J3406" s="695">
        <f t="shared" si="439"/>
        <v>1</v>
      </c>
      <c r="K3406" s="650">
        <f t="shared" si="440"/>
        <v>0.33333333333333331</v>
      </c>
    </row>
    <row r="3407" spans="1:11" ht="24.95" customHeight="1">
      <c r="A3407" s="1376" t="s">
        <v>6136</v>
      </c>
      <c r="B3407" s="1357" t="s">
        <v>6137</v>
      </c>
      <c r="C3407" s="1226"/>
      <c r="D3407" s="1226"/>
      <c r="E3407" s="1412" t="e">
        <f t="shared" si="437"/>
        <v>#DIV/0!</v>
      </c>
      <c r="F3407" s="1226">
        <v>3</v>
      </c>
      <c r="G3407" s="1226"/>
      <c r="H3407" s="1414">
        <f t="shared" si="438"/>
        <v>0</v>
      </c>
      <c r="I3407" s="1375">
        <f t="shared" si="442"/>
        <v>3</v>
      </c>
      <c r="J3407" s="695">
        <f t="shared" si="439"/>
        <v>0</v>
      </c>
      <c r="K3407" s="650">
        <f t="shared" si="440"/>
        <v>0</v>
      </c>
    </row>
    <row r="3408" spans="1:11" ht="24.95" customHeight="1">
      <c r="A3408" s="1376" t="s">
        <v>6138</v>
      </c>
      <c r="B3408" s="1357" t="s">
        <v>6139</v>
      </c>
      <c r="C3408" s="1226"/>
      <c r="D3408" s="1226"/>
      <c r="E3408" s="1412" t="e">
        <f t="shared" si="437"/>
        <v>#DIV/0!</v>
      </c>
      <c r="F3408" s="1226">
        <v>3</v>
      </c>
      <c r="G3408" s="1226"/>
      <c r="H3408" s="1414">
        <f t="shared" si="438"/>
        <v>0</v>
      </c>
      <c r="I3408" s="1375">
        <f t="shared" si="442"/>
        <v>3</v>
      </c>
      <c r="J3408" s="695">
        <f t="shared" si="439"/>
        <v>0</v>
      </c>
      <c r="K3408" s="650">
        <f t="shared" si="440"/>
        <v>0</v>
      </c>
    </row>
    <row r="3409" spans="1:11" ht="24.95" customHeight="1">
      <c r="A3409" s="1376" t="s">
        <v>6140</v>
      </c>
      <c r="B3409" s="1357" t="s">
        <v>6141</v>
      </c>
      <c r="C3409" s="1226"/>
      <c r="D3409" s="1226"/>
      <c r="E3409" s="1412" t="e">
        <f t="shared" si="437"/>
        <v>#DIV/0!</v>
      </c>
      <c r="F3409" s="1226">
        <v>1</v>
      </c>
      <c r="G3409" s="1226"/>
      <c r="H3409" s="1414">
        <f t="shared" si="438"/>
        <v>0</v>
      </c>
      <c r="I3409" s="1375">
        <f t="shared" si="442"/>
        <v>1</v>
      </c>
      <c r="J3409" s="695">
        <f t="shared" si="439"/>
        <v>0</v>
      </c>
      <c r="K3409" s="650">
        <f t="shared" si="440"/>
        <v>0</v>
      </c>
    </row>
    <row r="3410" spans="1:11" ht="24.95" customHeight="1">
      <c r="A3410" s="1376" t="s">
        <v>6142</v>
      </c>
      <c r="B3410" s="1357" t="s">
        <v>6143</v>
      </c>
      <c r="C3410" s="1226"/>
      <c r="D3410" s="1226"/>
      <c r="E3410" s="1412" t="e">
        <f t="shared" si="437"/>
        <v>#DIV/0!</v>
      </c>
      <c r="F3410" s="1226">
        <v>3</v>
      </c>
      <c r="G3410" s="1226">
        <v>1</v>
      </c>
      <c r="H3410" s="1414">
        <f t="shared" si="438"/>
        <v>0.33333333333333331</v>
      </c>
      <c r="I3410" s="1375">
        <f t="shared" si="442"/>
        <v>3</v>
      </c>
      <c r="J3410" s="695">
        <f t="shared" si="439"/>
        <v>1</v>
      </c>
      <c r="K3410" s="650">
        <f t="shared" si="440"/>
        <v>0.33333333333333331</v>
      </c>
    </row>
    <row r="3411" spans="1:11" ht="24.95" customHeight="1">
      <c r="A3411" s="1376" t="s">
        <v>6144</v>
      </c>
      <c r="B3411" s="1357" t="s">
        <v>3881</v>
      </c>
      <c r="C3411" s="1226">
        <v>40</v>
      </c>
      <c r="D3411" s="1226">
        <v>5</v>
      </c>
      <c r="E3411" s="1412">
        <f t="shared" si="437"/>
        <v>0.125</v>
      </c>
      <c r="F3411" s="1226"/>
      <c r="G3411" s="1226"/>
      <c r="H3411" s="1414" t="e">
        <f t="shared" si="438"/>
        <v>#DIV/0!</v>
      </c>
      <c r="I3411" s="1375">
        <f t="shared" si="442"/>
        <v>40</v>
      </c>
      <c r="J3411" s="695">
        <f t="shared" si="439"/>
        <v>5</v>
      </c>
      <c r="K3411" s="650">
        <f t="shared" si="440"/>
        <v>0.125</v>
      </c>
    </row>
    <row r="3412" spans="1:11" ht="24.95" customHeight="1">
      <c r="A3412" s="1376" t="s">
        <v>3882</v>
      </c>
      <c r="B3412" s="1357" t="s">
        <v>6145</v>
      </c>
      <c r="C3412" s="1226">
        <v>90</v>
      </c>
      <c r="D3412" s="1226">
        <v>59</v>
      </c>
      <c r="E3412" s="1412">
        <f t="shared" si="437"/>
        <v>0.65555555555555556</v>
      </c>
      <c r="F3412" s="1226">
        <v>3</v>
      </c>
      <c r="G3412" s="1226"/>
      <c r="H3412" s="1414">
        <f t="shared" si="438"/>
        <v>0</v>
      </c>
      <c r="I3412" s="1375">
        <f t="shared" si="442"/>
        <v>93</v>
      </c>
      <c r="J3412" s="695">
        <f t="shared" si="439"/>
        <v>59</v>
      </c>
      <c r="K3412" s="650">
        <f t="shared" si="440"/>
        <v>0.63440860215053763</v>
      </c>
    </row>
    <row r="3413" spans="1:11" ht="24.95" customHeight="1">
      <c r="A3413" s="1376" t="s">
        <v>5156</v>
      </c>
      <c r="B3413" s="1357" t="s">
        <v>5157</v>
      </c>
      <c r="C3413" s="1226">
        <v>60</v>
      </c>
      <c r="D3413" s="1226">
        <v>8</v>
      </c>
      <c r="E3413" s="1412">
        <f t="shared" si="437"/>
        <v>0.13333333333333333</v>
      </c>
      <c r="F3413" s="1226"/>
      <c r="G3413" s="1226"/>
      <c r="H3413" s="1414" t="e">
        <f t="shared" si="438"/>
        <v>#DIV/0!</v>
      </c>
      <c r="I3413" s="1375">
        <f t="shared" si="442"/>
        <v>60</v>
      </c>
      <c r="J3413" s="695">
        <f t="shared" si="439"/>
        <v>8</v>
      </c>
      <c r="K3413" s="650">
        <f t="shared" si="440"/>
        <v>0.13333333333333333</v>
      </c>
    </row>
    <row r="3414" spans="1:11" ht="24.95" customHeight="1">
      <c r="A3414" s="1376" t="s">
        <v>6146</v>
      </c>
      <c r="B3414" s="1357" t="s">
        <v>6147</v>
      </c>
      <c r="C3414" s="1226">
        <v>3</v>
      </c>
      <c r="D3414" s="1226"/>
      <c r="E3414" s="1412">
        <f t="shared" si="437"/>
        <v>0</v>
      </c>
      <c r="F3414" s="1226">
        <v>2</v>
      </c>
      <c r="G3414" s="1226"/>
      <c r="H3414" s="1414">
        <f t="shared" si="438"/>
        <v>0</v>
      </c>
      <c r="I3414" s="1375">
        <f t="shared" si="442"/>
        <v>5</v>
      </c>
      <c r="J3414" s="695">
        <f t="shared" si="439"/>
        <v>0</v>
      </c>
      <c r="K3414" s="650">
        <f t="shared" si="440"/>
        <v>0</v>
      </c>
    </row>
    <row r="3415" spans="1:11" ht="24.95" customHeight="1">
      <c r="A3415" s="1376" t="s">
        <v>6148</v>
      </c>
      <c r="B3415" s="1357" t="s">
        <v>6149</v>
      </c>
      <c r="C3415" s="1226">
        <v>100</v>
      </c>
      <c r="D3415" s="1226">
        <v>120</v>
      </c>
      <c r="E3415" s="1412">
        <f t="shared" si="437"/>
        <v>1.2</v>
      </c>
      <c r="F3415" s="1226">
        <v>3</v>
      </c>
      <c r="G3415" s="1226"/>
      <c r="H3415" s="1414">
        <f t="shared" si="438"/>
        <v>0</v>
      </c>
      <c r="I3415" s="1375">
        <f t="shared" si="442"/>
        <v>103</v>
      </c>
      <c r="J3415" s="695">
        <f t="shared" si="439"/>
        <v>120</v>
      </c>
      <c r="K3415" s="650">
        <f t="shared" si="440"/>
        <v>1.1650485436893203</v>
      </c>
    </row>
    <row r="3416" spans="1:11" ht="24.95" customHeight="1">
      <c r="A3416" s="1376" t="s">
        <v>3231</v>
      </c>
      <c r="B3416" s="1357" t="s">
        <v>3232</v>
      </c>
      <c r="C3416" s="1226">
        <v>60</v>
      </c>
      <c r="D3416" s="1226">
        <v>30</v>
      </c>
      <c r="E3416" s="1412">
        <f t="shared" si="437"/>
        <v>0.5</v>
      </c>
      <c r="F3416" s="1226">
        <v>65</v>
      </c>
      <c r="G3416" s="1226">
        <v>60</v>
      </c>
      <c r="H3416" s="1414">
        <f t="shared" si="438"/>
        <v>0.92307692307692313</v>
      </c>
      <c r="I3416" s="1375">
        <f t="shared" si="442"/>
        <v>125</v>
      </c>
      <c r="J3416" s="695">
        <f t="shared" si="439"/>
        <v>90</v>
      </c>
      <c r="K3416" s="650">
        <f t="shared" si="440"/>
        <v>0.72</v>
      </c>
    </row>
    <row r="3417" spans="1:11" ht="24.95" customHeight="1">
      <c r="A3417" s="1376" t="s">
        <v>2815</v>
      </c>
      <c r="B3417" s="1357" t="s">
        <v>3233</v>
      </c>
      <c r="C3417" s="1226">
        <v>340</v>
      </c>
      <c r="D3417" s="1226">
        <v>163</v>
      </c>
      <c r="E3417" s="1412">
        <f t="shared" si="437"/>
        <v>0.47941176470588237</v>
      </c>
      <c r="F3417" s="1226">
        <v>35</v>
      </c>
      <c r="G3417" s="1226">
        <v>9</v>
      </c>
      <c r="H3417" s="1414">
        <f t="shared" si="438"/>
        <v>0.25714285714285712</v>
      </c>
      <c r="I3417" s="1375">
        <f t="shared" si="442"/>
        <v>375</v>
      </c>
      <c r="J3417" s="695">
        <f t="shared" si="439"/>
        <v>172</v>
      </c>
      <c r="K3417" s="650">
        <f t="shared" si="440"/>
        <v>0.45866666666666667</v>
      </c>
    </row>
    <row r="3418" spans="1:11" ht="24.95" customHeight="1">
      <c r="A3418" s="1376" t="s">
        <v>3581</v>
      </c>
      <c r="B3418" s="1357" t="s">
        <v>3582</v>
      </c>
      <c r="C3418" s="1226">
        <v>40</v>
      </c>
      <c r="D3418" s="1226">
        <v>20</v>
      </c>
      <c r="E3418" s="1412">
        <f t="shared" si="437"/>
        <v>0.5</v>
      </c>
      <c r="F3418" s="1226">
        <v>70</v>
      </c>
      <c r="G3418" s="1226">
        <v>21</v>
      </c>
      <c r="H3418" s="1414">
        <f t="shared" si="438"/>
        <v>0.3</v>
      </c>
      <c r="I3418" s="1375">
        <f t="shared" si="442"/>
        <v>110</v>
      </c>
      <c r="J3418" s="695">
        <f t="shared" si="439"/>
        <v>41</v>
      </c>
      <c r="K3418" s="650">
        <f t="shared" si="440"/>
        <v>0.37272727272727274</v>
      </c>
    </row>
    <row r="3419" spans="1:11" ht="24.95" customHeight="1">
      <c r="A3419" s="1376" t="s">
        <v>3583</v>
      </c>
      <c r="B3419" s="1357" t="s">
        <v>6150</v>
      </c>
      <c r="C3419" s="1226">
        <v>30</v>
      </c>
      <c r="D3419" s="1226">
        <v>11</v>
      </c>
      <c r="E3419" s="1412">
        <f t="shared" si="437"/>
        <v>0.36666666666666664</v>
      </c>
      <c r="F3419" s="1226">
        <v>5</v>
      </c>
      <c r="G3419" s="1226">
        <v>1</v>
      </c>
      <c r="H3419" s="1414">
        <f t="shared" si="438"/>
        <v>0.2</v>
      </c>
      <c r="I3419" s="1375">
        <f t="shared" si="442"/>
        <v>35</v>
      </c>
      <c r="J3419" s="695">
        <f t="shared" si="439"/>
        <v>12</v>
      </c>
      <c r="K3419" s="650">
        <f t="shared" si="440"/>
        <v>0.34285714285714286</v>
      </c>
    </row>
    <row r="3420" spans="1:11" ht="24.95" customHeight="1">
      <c r="A3420" s="1376" t="s">
        <v>6151</v>
      </c>
      <c r="B3420" s="1357" t="s">
        <v>6152</v>
      </c>
      <c r="C3420" s="1226"/>
      <c r="D3420" s="1226"/>
      <c r="E3420" s="1412" t="e">
        <f t="shared" si="437"/>
        <v>#DIV/0!</v>
      </c>
      <c r="F3420" s="1226">
        <v>2</v>
      </c>
      <c r="G3420" s="1226"/>
      <c r="H3420" s="1414">
        <f t="shared" si="438"/>
        <v>0</v>
      </c>
      <c r="I3420" s="1375">
        <f t="shared" si="442"/>
        <v>2</v>
      </c>
      <c r="J3420" s="695">
        <f t="shared" si="439"/>
        <v>0</v>
      </c>
      <c r="K3420" s="650">
        <f t="shared" si="440"/>
        <v>0</v>
      </c>
    </row>
    <row r="3421" spans="1:11" ht="24.95" customHeight="1">
      <c r="A3421" s="1376" t="s">
        <v>6153</v>
      </c>
      <c r="B3421" s="1357" t="s">
        <v>6154</v>
      </c>
      <c r="C3421" s="1226"/>
      <c r="D3421" s="1226"/>
      <c r="E3421" s="1412" t="e">
        <f t="shared" si="437"/>
        <v>#DIV/0!</v>
      </c>
      <c r="F3421" s="1226">
        <v>2</v>
      </c>
      <c r="G3421" s="1226"/>
      <c r="H3421" s="1414">
        <f t="shared" si="438"/>
        <v>0</v>
      </c>
      <c r="I3421" s="1375">
        <f t="shared" si="442"/>
        <v>2</v>
      </c>
      <c r="J3421" s="695">
        <f t="shared" si="439"/>
        <v>0</v>
      </c>
      <c r="K3421" s="650">
        <f t="shared" si="440"/>
        <v>0</v>
      </c>
    </row>
    <row r="3422" spans="1:11" ht="24.95" customHeight="1">
      <c r="A3422" s="1376" t="s">
        <v>6155</v>
      </c>
      <c r="B3422" s="1357" t="s">
        <v>6156</v>
      </c>
      <c r="C3422" s="1226"/>
      <c r="D3422" s="1226"/>
      <c r="E3422" s="1412" t="e">
        <f t="shared" si="437"/>
        <v>#DIV/0!</v>
      </c>
      <c r="F3422" s="1226">
        <v>3</v>
      </c>
      <c r="G3422" s="1226"/>
      <c r="H3422" s="1414">
        <f t="shared" si="438"/>
        <v>0</v>
      </c>
      <c r="I3422" s="1375">
        <f t="shared" si="442"/>
        <v>3</v>
      </c>
      <c r="J3422" s="695">
        <f t="shared" si="439"/>
        <v>0</v>
      </c>
      <c r="K3422" s="650">
        <f t="shared" si="440"/>
        <v>0</v>
      </c>
    </row>
    <row r="3423" spans="1:11" ht="24.95" customHeight="1">
      <c r="A3423" s="1376" t="s">
        <v>4731</v>
      </c>
      <c r="B3423" s="1357" t="s">
        <v>6157</v>
      </c>
      <c r="C3423" s="1226"/>
      <c r="D3423" s="1226"/>
      <c r="E3423" s="1412" t="e">
        <f t="shared" si="437"/>
        <v>#DIV/0!</v>
      </c>
      <c r="F3423" s="1226">
        <v>5</v>
      </c>
      <c r="G3423" s="1226"/>
      <c r="H3423" s="1414">
        <f t="shared" si="438"/>
        <v>0</v>
      </c>
      <c r="I3423" s="1375">
        <f t="shared" si="442"/>
        <v>5</v>
      </c>
      <c r="J3423" s="695">
        <f t="shared" si="439"/>
        <v>0</v>
      </c>
      <c r="K3423" s="650">
        <f t="shared" si="440"/>
        <v>0</v>
      </c>
    </row>
    <row r="3424" spans="1:11" ht="24.95" customHeight="1">
      <c r="A3424" s="1376" t="s">
        <v>6158</v>
      </c>
      <c r="B3424" s="1378" t="s">
        <v>6159</v>
      </c>
      <c r="C3424" s="1226"/>
      <c r="D3424" s="1226"/>
      <c r="E3424" s="1412" t="e">
        <f t="shared" ref="E3424:E3487" si="443">+D3424/C3424</f>
        <v>#DIV/0!</v>
      </c>
      <c r="F3424" s="1226"/>
      <c r="G3424" s="1226"/>
      <c r="H3424" s="1414" t="e">
        <f t="shared" ref="H3424:H3487" si="444">+G3424/F3424</f>
        <v>#DIV/0!</v>
      </c>
      <c r="I3424" s="1375">
        <f t="shared" si="442"/>
        <v>0</v>
      </c>
      <c r="J3424" s="695">
        <f t="shared" si="442"/>
        <v>0</v>
      </c>
      <c r="K3424" s="650" t="e">
        <f t="shared" ref="K3424:K3487" si="445">+J3424/I3424</f>
        <v>#DIV/0!</v>
      </c>
    </row>
    <row r="3425" spans="1:11" ht="24.95" customHeight="1">
      <c r="A3425" s="1376" t="s">
        <v>6160</v>
      </c>
      <c r="B3425" s="1357" t="s">
        <v>6161</v>
      </c>
      <c r="C3425" s="1226">
        <v>15</v>
      </c>
      <c r="D3425" s="1226">
        <v>4</v>
      </c>
      <c r="E3425" s="1412">
        <f t="shared" si="443"/>
        <v>0.26666666666666666</v>
      </c>
      <c r="F3425" s="1226">
        <v>10</v>
      </c>
      <c r="G3425" s="1226">
        <v>3</v>
      </c>
      <c r="H3425" s="1414">
        <f t="shared" si="444"/>
        <v>0.3</v>
      </c>
      <c r="I3425" s="1375">
        <f t="shared" si="442"/>
        <v>25</v>
      </c>
      <c r="J3425" s="695">
        <f t="shared" si="442"/>
        <v>7</v>
      </c>
      <c r="K3425" s="650">
        <f t="shared" si="445"/>
        <v>0.28000000000000003</v>
      </c>
    </row>
    <row r="3426" spans="1:11" ht="24.95" customHeight="1">
      <c r="A3426" s="1376" t="s">
        <v>3886</v>
      </c>
      <c r="B3426" s="1357" t="s">
        <v>3887</v>
      </c>
      <c r="C3426" s="1226">
        <v>5</v>
      </c>
      <c r="D3426" s="1226">
        <v>4</v>
      </c>
      <c r="E3426" s="1412">
        <f t="shared" si="443"/>
        <v>0.8</v>
      </c>
      <c r="F3426" s="1226">
        <v>65</v>
      </c>
      <c r="G3426" s="1226">
        <v>18</v>
      </c>
      <c r="H3426" s="1414">
        <f t="shared" si="444"/>
        <v>0.27692307692307694</v>
      </c>
      <c r="I3426" s="1375">
        <f t="shared" si="442"/>
        <v>70</v>
      </c>
      <c r="J3426" s="695">
        <f t="shared" si="442"/>
        <v>22</v>
      </c>
      <c r="K3426" s="650">
        <f t="shared" si="445"/>
        <v>0.31428571428571428</v>
      </c>
    </row>
    <row r="3427" spans="1:11" ht="24.95" customHeight="1">
      <c r="A3427" s="1376" t="s">
        <v>6162</v>
      </c>
      <c r="B3427" s="1357" t="s">
        <v>6163</v>
      </c>
      <c r="C3427" s="1226"/>
      <c r="D3427" s="1226"/>
      <c r="E3427" s="1412" t="e">
        <f t="shared" si="443"/>
        <v>#DIV/0!</v>
      </c>
      <c r="F3427" s="1226">
        <v>2</v>
      </c>
      <c r="G3427" s="1226"/>
      <c r="H3427" s="1414">
        <f t="shared" si="444"/>
        <v>0</v>
      </c>
      <c r="I3427" s="1375">
        <f t="shared" si="442"/>
        <v>2</v>
      </c>
      <c r="J3427" s="695">
        <f t="shared" si="442"/>
        <v>0</v>
      </c>
      <c r="K3427" s="650">
        <f t="shared" si="445"/>
        <v>0</v>
      </c>
    </row>
    <row r="3428" spans="1:11" ht="24.95" customHeight="1">
      <c r="A3428" s="1376" t="s">
        <v>6164</v>
      </c>
      <c r="B3428" s="1357" t="s">
        <v>6165</v>
      </c>
      <c r="C3428" s="1226"/>
      <c r="D3428" s="1226"/>
      <c r="E3428" s="1412" t="e">
        <f t="shared" si="443"/>
        <v>#DIV/0!</v>
      </c>
      <c r="F3428" s="1226"/>
      <c r="G3428" s="1226"/>
      <c r="H3428" s="1414" t="e">
        <f t="shared" si="444"/>
        <v>#DIV/0!</v>
      </c>
      <c r="I3428" s="1375">
        <f t="shared" si="442"/>
        <v>0</v>
      </c>
      <c r="J3428" s="695">
        <f t="shared" si="442"/>
        <v>0</v>
      </c>
      <c r="K3428" s="650" t="e">
        <f t="shared" si="445"/>
        <v>#DIV/0!</v>
      </c>
    </row>
    <row r="3429" spans="1:11" ht="24.95" customHeight="1">
      <c r="A3429" s="1376" t="s">
        <v>6166</v>
      </c>
      <c r="B3429" s="1357" t="s">
        <v>6167</v>
      </c>
      <c r="C3429" s="1226">
        <v>1</v>
      </c>
      <c r="D3429" s="1226"/>
      <c r="E3429" s="1412">
        <f t="shared" si="443"/>
        <v>0</v>
      </c>
      <c r="F3429" s="1226"/>
      <c r="G3429" s="1226"/>
      <c r="H3429" s="1414" t="e">
        <f t="shared" si="444"/>
        <v>#DIV/0!</v>
      </c>
      <c r="I3429" s="1375">
        <f t="shared" si="442"/>
        <v>1</v>
      </c>
      <c r="J3429" s="695">
        <f t="shared" si="442"/>
        <v>0</v>
      </c>
      <c r="K3429" s="650">
        <f t="shared" si="445"/>
        <v>0</v>
      </c>
    </row>
    <row r="3430" spans="1:11" ht="24.95" customHeight="1">
      <c r="A3430" s="1376" t="s">
        <v>6168</v>
      </c>
      <c r="B3430" s="1357" t="s">
        <v>6169</v>
      </c>
      <c r="C3430" s="1226"/>
      <c r="D3430" s="1226"/>
      <c r="E3430" s="1412" t="e">
        <f t="shared" si="443"/>
        <v>#DIV/0!</v>
      </c>
      <c r="F3430" s="1226">
        <v>1</v>
      </c>
      <c r="G3430" s="1226"/>
      <c r="H3430" s="1414">
        <f t="shared" si="444"/>
        <v>0</v>
      </c>
      <c r="I3430" s="1375">
        <f t="shared" si="442"/>
        <v>1</v>
      </c>
      <c r="J3430" s="695">
        <f t="shared" si="442"/>
        <v>0</v>
      </c>
      <c r="K3430" s="650">
        <f t="shared" si="445"/>
        <v>0</v>
      </c>
    </row>
    <row r="3431" spans="1:11" ht="24.95" customHeight="1">
      <c r="A3431" s="1376" t="s">
        <v>3400</v>
      </c>
      <c r="B3431" s="1357" t="s">
        <v>3401</v>
      </c>
      <c r="C3431" s="1226">
        <v>80</v>
      </c>
      <c r="D3431" s="1226">
        <v>38</v>
      </c>
      <c r="E3431" s="1412">
        <f t="shared" si="443"/>
        <v>0.47499999999999998</v>
      </c>
      <c r="F3431" s="1226">
        <v>55</v>
      </c>
      <c r="G3431" s="1226">
        <v>20</v>
      </c>
      <c r="H3431" s="1414">
        <f t="shared" si="444"/>
        <v>0.36363636363636365</v>
      </c>
      <c r="I3431" s="1375">
        <f t="shared" si="442"/>
        <v>135</v>
      </c>
      <c r="J3431" s="695">
        <f t="shared" si="442"/>
        <v>58</v>
      </c>
      <c r="K3431" s="650">
        <f t="shared" si="445"/>
        <v>0.42962962962962964</v>
      </c>
    </row>
    <row r="3432" spans="1:11" ht="24.95" customHeight="1">
      <c r="A3432" s="1376" t="s">
        <v>3402</v>
      </c>
      <c r="B3432" s="1357" t="s">
        <v>6170</v>
      </c>
      <c r="C3432" s="1226">
        <v>5</v>
      </c>
      <c r="D3432" s="1226">
        <v>2</v>
      </c>
      <c r="E3432" s="1412">
        <f t="shared" si="443"/>
        <v>0.4</v>
      </c>
      <c r="F3432" s="1226"/>
      <c r="G3432" s="1226">
        <v>1</v>
      </c>
      <c r="H3432" s="1414" t="e">
        <f t="shared" si="444"/>
        <v>#DIV/0!</v>
      </c>
      <c r="I3432" s="1375"/>
      <c r="J3432" s="695">
        <f t="shared" ref="J3432:J3495" si="446">+D3432+G3432</f>
        <v>3</v>
      </c>
      <c r="K3432" s="650" t="e">
        <f t="shared" si="445"/>
        <v>#DIV/0!</v>
      </c>
    </row>
    <row r="3433" spans="1:11" ht="24.95" customHeight="1">
      <c r="A3433" s="1376" t="s">
        <v>3404</v>
      </c>
      <c r="B3433" s="1357" t="s">
        <v>6171</v>
      </c>
      <c r="C3433" s="1226"/>
      <c r="D3433" s="1226"/>
      <c r="E3433" s="1412" t="e">
        <f t="shared" si="443"/>
        <v>#DIV/0!</v>
      </c>
      <c r="F3433" s="1226">
        <v>10</v>
      </c>
      <c r="G3433" s="1226"/>
      <c r="H3433" s="1414">
        <f t="shared" si="444"/>
        <v>0</v>
      </c>
      <c r="I3433" s="1375">
        <f t="shared" ref="I3433:I3439" si="447">+C3433+F3433</f>
        <v>10</v>
      </c>
      <c r="J3433" s="695">
        <f t="shared" si="446"/>
        <v>0</v>
      </c>
      <c r="K3433" s="650">
        <f t="shared" si="445"/>
        <v>0</v>
      </c>
    </row>
    <row r="3434" spans="1:11" ht="24.95" customHeight="1">
      <c r="A3434" s="1376" t="s">
        <v>4733</v>
      </c>
      <c r="B3434" s="1357" t="s">
        <v>4734</v>
      </c>
      <c r="C3434" s="1226"/>
      <c r="D3434" s="1226"/>
      <c r="E3434" s="1412" t="e">
        <f t="shared" si="443"/>
        <v>#DIV/0!</v>
      </c>
      <c r="F3434" s="1226"/>
      <c r="G3434" s="1226"/>
      <c r="H3434" s="1414" t="e">
        <f t="shared" si="444"/>
        <v>#DIV/0!</v>
      </c>
      <c r="I3434" s="1375">
        <f t="shared" si="447"/>
        <v>0</v>
      </c>
      <c r="J3434" s="695">
        <f t="shared" si="446"/>
        <v>0</v>
      </c>
      <c r="K3434" s="650" t="e">
        <f t="shared" si="445"/>
        <v>#DIV/0!</v>
      </c>
    </row>
    <row r="3435" spans="1:11" ht="24.95" customHeight="1">
      <c r="A3435" s="1376" t="s">
        <v>3412</v>
      </c>
      <c r="B3435" s="1357" t="s">
        <v>6172</v>
      </c>
      <c r="C3435" s="1226">
        <v>5</v>
      </c>
      <c r="D3435" s="1226">
        <v>3</v>
      </c>
      <c r="E3435" s="1412">
        <f t="shared" si="443"/>
        <v>0.6</v>
      </c>
      <c r="F3435" s="1226">
        <v>5</v>
      </c>
      <c r="G3435" s="1226"/>
      <c r="H3435" s="1414">
        <f t="shared" si="444"/>
        <v>0</v>
      </c>
      <c r="I3435" s="1375">
        <f t="shared" si="447"/>
        <v>10</v>
      </c>
      <c r="J3435" s="695">
        <f t="shared" si="446"/>
        <v>3</v>
      </c>
      <c r="K3435" s="650">
        <f t="shared" si="445"/>
        <v>0.3</v>
      </c>
    </row>
    <row r="3436" spans="1:11" ht="24.95" customHeight="1">
      <c r="A3436" s="1376" t="s">
        <v>3414</v>
      </c>
      <c r="B3436" s="1357" t="s">
        <v>3415</v>
      </c>
      <c r="C3436" s="1226">
        <v>15</v>
      </c>
      <c r="D3436" s="1226">
        <v>4</v>
      </c>
      <c r="E3436" s="1412">
        <f t="shared" si="443"/>
        <v>0.26666666666666666</v>
      </c>
      <c r="F3436" s="1226">
        <v>5</v>
      </c>
      <c r="G3436" s="1226"/>
      <c r="H3436" s="1414">
        <f t="shared" si="444"/>
        <v>0</v>
      </c>
      <c r="I3436" s="1375">
        <f t="shared" si="447"/>
        <v>20</v>
      </c>
      <c r="J3436" s="695">
        <f t="shared" si="446"/>
        <v>4</v>
      </c>
      <c r="K3436" s="650">
        <f t="shared" si="445"/>
        <v>0.2</v>
      </c>
    </row>
    <row r="3437" spans="1:11" ht="24.95" customHeight="1">
      <c r="A3437" s="1376" t="s">
        <v>4736</v>
      </c>
      <c r="B3437" s="1357" t="s">
        <v>4737</v>
      </c>
      <c r="C3437" s="1226">
        <v>2</v>
      </c>
      <c r="D3437" s="1226">
        <v>1</v>
      </c>
      <c r="E3437" s="1412">
        <f t="shared" si="443"/>
        <v>0.5</v>
      </c>
      <c r="F3437" s="1226">
        <v>3</v>
      </c>
      <c r="G3437" s="1226"/>
      <c r="H3437" s="1414">
        <f t="shared" si="444"/>
        <v>0</v>
      </c>
      <c r="I3437" s="1375">
        <f t="shared" si="447"/>
        <v>5</v>
      </c>
      <c r="J3437" s="695">
        <f t="shared" si="446"/>
        <v>1</v>
      </c>
      <c r="K3437" s="650">
        <f t="shared" si="445"/>
        <v>0.2</v>
      </c>
    </row>
    <row r="3438" spans="1:11" ht="24.95" customHeight="1">
      <c r="A3438" s="1376" t="s">
        <v>4446</v>
      </c>
      <c r="B3438" s="1357" t="s">
        <v>4447</v>
      </c>
      <c r="C3438" s="1226">
        <v>2</v>
      </c>
      <c r="D3438" s="1226"/>
      <c r="E3438" s="1412">
        <f t="shared" si="443"/>
        <v>0</v>
      </c>
      <c r="F3438" s="1226">
        <v>5</v>
      </c>
      <c r="G3438" s="1226"/>
      <c r="H3438" s="1414">
        <f t="shared" si="444"/>
        <v>0</v>
      </c>
      <c r="I3438" s="1375">
        <f t="shared" si="447"/>
        <v>7</v>
      </c>
      <c r="J3438" s="695">
        <f t="shared" si="446"/>
        <v>0</v>
      </c>
      <c r="K3438" s="650">
        <f t="shared" si="445"/>
        <v>0</v>
      </c>
    </row>
    <row r="3439" spans="1:11" ht="24.95" customHeight="1">
      <c r="A3439" s="1376" t="s">
        <v>4738</v>
      </c>
      <c r="B3439" s="1357" t="s">
        <v>4739</v>
      </c>
      <c r="C3439" s="1226">
        <v>3</v>
      </c>
      <c r="D3439" s="1226">
        <v>1</v>
      </c>
      <c r="E3439" s="1412">
        <f t="shared" si="443"/>
        <v>0.33333333333333331</v>
      </c>
      <c r="F3439" s="1226">
        <v>3</v>
      </c>
      <c r="G3439" s="1226"/>
      <c r="H3439" s="1414">
        <f t="shared" si="444"/>
        <v>0</v>
      </c>
      <c r="I3439" s="1375">
        <f t="shared" si="447"/>
        <v>6</v>
      </c>
      <c r="J3439" s="695">
        <f t="shared" si="446"/>
        <v>1</v>
      </c>
      <c r="K3439" s="650">
        <f t="shared" si="445"/>
        <v>0.16666666666666666</v>
      </c>
    </row>
    <row r="3440" spans="1:11" ht="24.95" customHeight="1">
      <c r="A3440" s="1376" t="s">
        <v>6173</v>
      </c>
      <c r="B3440" s="1357" t="s">
        <v>6174</v>
      </c>
      <c r="C3440" s="1226"/>
      <c r="D3440" s="1226"/>
      <c r="E3440" s="1412" t="e">
        <f t="shared" si="443"/>
        <v>#DIV/0!</v>
      </c>
      <c r="F3440" s="1226">
        <v>20</v>
      </c>
      <c r="G3440" s="1226">
        <v>1</v>
      </c>
      <c r="H3440" s="1414">
        <f t="shared" si="444"/>
        <v>0.05</v>
      </c>
      <c r="I3440" s="1375"/>
      <c r="J3440" s="695">
        <f t="shared" si="446"/>
        <v>1</v>
      </c>
      <c r="K3440" s="650" t="e">
        <f t="shared" si="445"/>
        <v>#DIV/0!</v>
      </c>
    </row>
    <row r="3441" spans="1:11" ht="24.95" customHeight="1">
      <c r="A3441" s="1376" t="s">
        <v>6175</v>
      </c>
      <c r="B3441" s="1357" t="s">
        <v>6176</v>
      </c>
      <c r="C3441" s="1226"/>
      <c r="D3441" s="1226"/>
      <c r="E3441" s="1412" t="e">
        <f t="shared" si="443"/>
        <v>#DIV/0!</v>
      </c>
      <c r="F3441" s="1226">
        <v>5</v>
      </c>
      <c r="G3441" s="1226"/>
      <c r="H3441" s="1414">
        <f t="shared" si="444"/>
        <v>0</v>
      </c>
      <c r="I3441" s="1375"/>
      <c r="J3441" s="695">
        <f t="shared" si="446"/>
        <v>0</v>
      </c>
      <c r="K3441" s="650" t="e">
        <f t="shared" si="445"/>
        <v>#DIV/0!</v>
      </c>
    </row>
    <row r="3442" spans="1:11" ht="24.95" customHeight="1">
      <c r="A3442" s="1376" t="s">
        <v>3416</v>
      </c>
      <c r="B3442" s="1357" t="s">
        <v>4741</v>
      </c>
      <c r="C3442" s="1226">
        <v>2</v>
      </c>
      <c r="D3442" s="1226"/>
      <c r="E3442" s="1412">
        <f t="shared" si="443"/>
        <v>0</v>
      </c>
      <c r="F3442" s="1226">
        <v>3</v>
      </c>
      <c r="G3442" s="1226"/>
      <c r="H3442" s="1414">
        <f t="shared" si="444"/>
        <v>0</v>
      </c>
      <c r="I3442" s="1375">
        <f>+C3442+F3442</f>
        <v>5</v>
      </c>
      <c r="J3442" s="695">
        <f t="shared" si="446"/>
        <v>0</v>
      </c>
      <c r="K3442" s="650">
        <f t="shared" si="445"/>
        <v>0</v>
      </c>
    </row>
    <row r="3443" spans="1:11" ht="24.95" customHeight="1">
      <c r="A3443" s="1376" t="s">
        <v>6177</v>
      </c>
      <c r="B3443" s="1357" t="s">
        <v>6178</v>
      </c>
      <c r="C3443" s="1226"/>
      <c r="D3443" s="1226"/>
      <c r="E3443" s="1412" t="e">
        <f t="shared" si="443"/>
        <v>#DIV/0!</v>
      </c>
      <c r="F3443" s="1226">
        <v>2</v>
      </c>
      <c r="G3443" s="1226"/>
      <c r="H3443" s="1414">
        <f t="shared" si="444"/>
        <v>0</v>
      </c>
      <c r="I3443" s="1375"/>
      <c r="J3443" s="695">
        <f t="shared" si="446"/>
        <v>0</v>
      </c>
      <c r="K3443" s="650" t="e">
        <f t="shared" si="445"/>
        <v>#DIV/0!</v>
      </c>
    </row>
    <row r="3444" spans="1:11" ht="24.95" customHeight="1">
      <c r="A3444" s="1376" t="s">
        <v>4742</v>
      </c>
      <c r="B3444" s="1357" t="s">
        <v>4743</v>
      </c>
      <c r="C3444" s="1226">
        <v>2</v>
      </c>
      <c r="D3444" s="1226"/>
      <c r="E3444" s="1412">
        <f t="shared" si="443"/>
        <v>0</v>
      </c>
      <c r="F3444" s="1226"/>
      <c r="G3444" s="1226">
        <v>30</v>
      </c>
      <c r="H3444" s="1414" t="e">
        <f t="shared" si="444"/>
        <v>#DIV/0!</v>
      </c>
      <c r="I3444" s="1375">
        <f t="shared" ref="I3444:I3461" si="448">+C3444+F3444</f>
        <v>2</v>
      </c>
      <c r="J3444" s="695">
        <f t="shared" si="446"/>
        <v>30</v>
      </c>
      <c r="K3444" s="650">
        <f t="shared" si="445"/>
        <v>15</v>
      </c>
    </row>
    <row r="3445" spans="1:11" ht="24.95" customHeight="1">
      <c r="A3445" s="1376" t="s">
        <v>154</v>
      </c>
      <c r="B3445" s="1357" t="s">
        <v>175</v>
      </c>
      <c r="C3445" s="1226">
        <v>5</v>
      </c>
      <c r="D3445" s="1226">
        <v>4</v>
      </c>
      <c r="E3445" s="1412">
        <f t="shared" si="443"/>
        <v>0.8</v>
      </c>
      <c r="F3445" s="1226">
        <v>20</v>
      </c>
      <c r="G3445" s="1226">
        <v>4</v>
      </c>
      <c r="H3445" s="1414">
        <f t="shared" si="444"/>
        <v>0.2</v>
      </c>
      <c r="I3445" s="1375">
        <f t="shared" si="448"/>
        <v>25</v>
      </c>
      <c r="J3445" s="695">
        <f t="shared" si="446"/>
        <v>8</v>
      </c>
      <c r="K3445" s="650">
        <f t="shared" si="445"/>
        <v>0.32</v>
      </c>
    </row>
    <row r="3446" spans="1:11" ht="24.95" customHeight="1">
      <c r="A3446" s="1376" t="s">
        <v>150</v>
      </c>
      <c r="B3446" s="1357" t="s">
        <v>6179</v>
      </c>
      <c r="C3446" s="1226">
        <v>65</v>
      </c>
      <c r="D3446" s="1226">
        <v>19</v>
      </c>
      <c r="E3446" s="1412">
        <f t="shared" si="443"/>
        <v>0.29230769230769232</v>
      </c>
      <c r="F3446" s="1226">
        <v>2</v>
      </c>
      <c r="G3446" s="1226"/>
      <c r="H3446" s="1414">
        <f t="shared" si="444"/>
        <v>0</v>
      </c>
      <c r="I3446" s="1375">
        <f t="shared" si="448"/>
        <v>67</v>
      </c>
      <c r="J3446" s="695">
        <f t="shared" si="446"/>
        <v>19</v>
      </c>
      <c r="K3446" s="650">
        <f t="shared" si="445"/>
        <v>0.28358208955223879</v>
      </c>
    </row>
    <row r="3447" spans="1:11" ht="24.95" customHeight="1">
      <c r="A3447" s="1376" t="s">
        <v>6180</v>
      </c>
      <c r="B3447" s="1357" t="s">
        <v>6181</v>
      </c>
      <c r="C3447" s="1226"/>
      <c r="D3447" s="1226"/>
      <c r="E3447" s="1412" t="e">
        <f t="shared" si="443"/>
        <v>#DIV/0!</v>
      </c>
      <c r="F3447" s="1226"/>
      <c r="G3447" s="1226"/>
      <c r="H3447" s="1414" t="e">
        <f t="shared" si="444"/>
        <v>#DIV/0!</v>
      </c>
      <c r="I3447" s="1375">
        <f t="shared" si="448"/>
        <v>0</v>
      </c>
      <c r="J3447" s="695">
        <f t="shared" si="446"/>
        <v>0</v>
      </c>
      <c r="K3447" s="650" t="e">
        <f t="shared" si="445"/>
        <v>#DIV/0!</v>
      </c>
    </row>
    <row r="3448" spans="1:11" ht="24.95" customHeight="1">
      <c r="A3448" s="1376" t="s">
        <v>2825</v>
      </c>
      <c r="B3448" s="1357" t="s">
        <v>2826</v>
      </c>
      <c r="C3448" s="1226">
        <v>2</v>
      </c>
      <c r="D3448" s="1226">
        <v>1</v>
      </c>
      <c r="E3448" s="1412">
        <f t="shared" si="443"/>
        <v>0.5</v>
      </c>
      <c r="F3448" s="1226">
        <v>3</v>
      </c>
      <c r="G3448" s="1226">
        <v>1</v>
      </c>
      <c r="H3448" s="1414">
        <f t="shared" si="444"/>
        <v>0.33333333333333331</v>
      </c>
      <c r="I3448" s="1375">
        <f t="shared" si="448"/>
        <v>5</v>
      </c>
      <c r="J3448" s="695">
        <f t="shared" si="446"/>
        <v>2</v>
      </c>
      <c r="K3448" s="650">
        <f t="shared" si="445"/>
        <v>0.4</v>
      </c>
    </row>
    <row r="3449" spans="1:11" ht="24.95" customHeight="1">
      <c r="A3449" s="1376" t="s">
        <v>3898</v>
      </c>
      <c r="B3449" s="1357" t="s">
        <v>3899</v>
      </c>
      <c r="C3449" s="1226">
        <v>2</v>
      </c>
      <c r="D3449" s="1226">
        <v>3</v>
      </c>
      <c r="E3449" s="1412">
        <f t="shared" si="443"/>
        <v>1.5</v>
      </c>
      <c r="F3449" s="1226">
        <v>3</v>
      </c>
      <c r="G3449" s="1226">
        <v>1</v>
      </c>
      <c r="H3449" s="1414">
        <f t="shared" si="444"/>
        <v>0.33333333333333331</v>
      </c>
      <c r="I3449" s="1375">
        <f t="shared" si="448"/>
        <v>5</v>
      </c>
      <c r="J3449" s="695">
        <f t="shared" si="446"/>
        <v>4</v>
      </c>
      <c r="K3449" s="650">
        <f t="shared" si="445"/>
        <v>0.8</v>
      </c>
    </row>
    <row r="3450" spans="1:11" ht="24.95" customHeight="1">
      <c r="A3450" s="1376" t="s">
        <v>6182</v>
      </c>
      <c r="B3450" s="1357" t="s">
        <v>3901</v>
      </c>
      <c r="C3450" s="1226">
        <v>3</v>
      </c>
      <c r="D3450" s="1226">
        <v>1</v>
      </c>
      <c r="E3450" s="1412">
        <f t="shared" si="443"/>
        <v>0.33333333333333331</v>
      </c>
      <c r="F3450" s="1226">
        <v>2</v>
      </c>
      <c r="G3450" s="1226"/>
      <c r="H3450" s="1414">
        <f t="shared" si="444"/>
        <v>0</v>
      </c>
      <c r="I3450" s="1375">
        <f t="shared" si="448"/>
        <v>5</v>
      </c>
      <c r="J3450" s="695">
        <f t="shared" si="446"/>
        <v>1</v>
      </c>
      <c r="K3450" s="650">
        <f t="shared" si="445"/>
        <v>0.2</v>
      </c>
    </row>
    <row r="3451" spans="1:11" ht="24.95" customHeight="1">
      <c r="A3451" s="1376" t="s">
        <v>6183</v>
      </c>
      <c r="B3451" s="1357" t="s">
        <v>6184</v>
      </c>
      <c r="C3451" s="1226">
        <v>20</v>
      </c>
      <c r="D3451" s="1226">
        <v>6</v>
      </c>
      <c r="E3451" s="1412">
        <f t="shared" si="443"/>
        <v>0.3</v>
      </c>
      <c r="F3451" s="1226"/>
      <c r="G3451" s="1226"/>
      <c r="H3451" s="1414" t="e">
        <f t="shared" si="444"/>
        <v>#DIV/0!</v>
      </c>
      <c r="I3451" s="1375">
        <f t="shared" si="448"/>
        <v>20</v>
      </c>
      <c r="J3451" s="695">
        <f t="shared" si="446"/>
        <v>6</v>
      </c>
      <c r="K3451" s="650">
        <f t="shared" si="445"/>
        <v>0.3</v>
      </c>
    </row>
    <row r="3452" spans="1:11" ht="24.95" customHeight="1">
      <c r="A3452" s="1376" t="s">
        <v>6185</v>
      </c>
      <c r="B3452" s="1357" t="s">
        <v>6186</v>
      </c>
      <c r="C3452" s="1226">
        <v>3</v>
      </c>
      <c r="D3452" s="1226"/>
      <c r="E3452" s="1412">
        <f t="shared" si="443"/>
        <v>0</v>
      </c>
      <c r="F3452" s="1226">
        <v>2</v>
      </c>
      <c r="G3452" s="1226"/>
      <c r="H3452" s="1414">
        <f t="shared" si="444"/>
        <v>0</v>
      </c>
      <c r="I3452" s="1375">
        <f t="shared" si="448"/>
        <v>5</v>
      </c>
      <c r="J3452" s="695">
        <f t="shared" si="446"/>
        <v>0</v>
      </c>
      <c r="K3452" s="650">
        <f t="shared" si="445"/>
        <v>0</v>
      </c>
    </row>
    <row r="3453" spans="1:11" ht="24.95" customHeight="1">
      <c r="A3453" s="1376" t="s">
        <v>3914</v>
      </c>
      <c r="B3453" s="1357" t="s">
        <v>3915</v>
      </c>
      <c r="C3453" s="1226">
        <v>1050</v>
      </c>
      <c r="D3453" s="1226">
        <f>537+21</f>
        <v>558</v>
      </c>
      <c r="E3453" s="1412">
        <f t="shared" si="443"/>
        <v>0.53142857142857147</v>
      </c>
      <c r="F3453" s="1226">
        <v>100</v>
      </c>
      <c r="G3453" s="1226">
        <f>34+9</f>
        <v>43</v>
      </c>
      <c r="H3453" s="1414">
        <f t="shared" si="444"/>
        <v>0.43</v>
      </c>
      <c r="I3453" s="1375">
        <f t="shared" si="448"/>
        <v>1150</v>
      </c>
      <c r="J3453" s="695">
        <f t="shared" si="446"/>
        <v>601</v>
      </c>
      <c r="K3453" s="650">
        <f t="shared" si="445"/>
        <v>0.52260869565217394</v>
      </c>
    </row>
    <row r="3454" spans="1:11" ht="24.95" customHeight="1">
      <c r="A3454" s="1376" t="s">
        <v>6187</v>
      </c>
      <c r="B3454" s="1357" t="s">
        <v>6188</v>
      </c>
      <c r="C3454" s="1226">
        <v>2</v>
      </c>
      <c r="D3454" s="1226"/>
      <c r="E3454" s="1412">
        <f t="shared" si="443"/>
        <v>0</v>
      </c>
      <c r="F3454" s="1226"/>
      <c r="G3454" s="1226"/>
      <c r="H3454" s="1414" t="e">
        <f t="shared" si="444"/>
        <v>#DIV/0!</v>
      </c>
      <c r="I3454" s="1375">
        <f t="shared" si="448"/>
        <v>2</v>
      </c>
      <c r="J3454" s="695">
        <f t="shared" si="446"/>
        <v>0</v>
      </c>
      <c r="K3454" s="650">
        <f t="shared" si="445"/>
        <v>0</v>
      </c>
    </row>
    <row r="3455" spans="1:11" ht="24.95" customHeight="1">
      <c r="A3455" s="1376" t="s">
        <v>6104</v>
      </c>
      <c r="B3455" s="1357" t="s">
        <v>6105</v>
      </c>
      <c r="C3455" s="1226">
        <v>1</v>
      </c>
      <c r="D3455" s="1226"/>
      <c r="E3455" s="1412">
        <f t="shared" si="443"/>
        <v>0</v>
      </c>
      <c r="F3455" s="1226">
        <v>4</v>
      </c>
      <c r="G3455" s="1226">
        <v>2</v>
      </c>
      <c r="H3455" s="1414">
        <f t="shared" si="444"/>
        <v>0.5</v>
      </c>
      <c r="I3455" s="1375">
        <f t="shared" si="448"/>
        <v>5</v>
      </c>
      <c r="J3455" s="695">
        <f t="shared" si="446"/>
        <v>2</v>
      </c>
      <c r="K3455" s="650">
        <f t="shared" si="445"/>
        <v>0.4</v>
      </c>
    </row>
    <row r="3456" spans="1:11" ht="24.95" customHeight="1">
      <c r="A3456" s="1376" t="s">
        <v>6189</v>
      </c>
      <c r="B3456" s="1357" t="s">
        <v>6190</v>
      </c>
      <c r="C3456" s="1226">
        <v>2</v>
      </c>
      <c r="D3456" s="1226"/>
      <c r="E3456" s="1412">
        <f t="shared" si="443"/>
        <v>0</v>
      </c>
      <c r="F3456" s="1226">
        <v>2</v>
      </c>
      <c r="G3456" s="1226"/>
      <c r="H3456" s="1414">
        <f t="shared" si="444"/>
        <v>0</v>
      </c>
      <c r="I3456" s="1375">
        <f t="shared" si="448"/>
        <v>4</v>
      </c>
      <c r="J3456" s="695">
        <f t="shared" si="446"/>
        <v>0</v>
      </c>
      <c r="K3456" s="650">
        <f t="shared" si="445"/>
        <v>0</v>
      </c>
    </row>
    <row r="3457" spans="1:11" ht="24.95" customHeight="1">
      <c r="A3457" s="1376" t="s">
        <v>6191</v>
      </c>
      <c r="B3457" s="1357" t="s">
        <v>6192</v>
      </c>
      <c r="C3457" s="1226">
        <v>2</v>
      </c>
      <c r="D3457" s="1226"/>
      <c r="E3457" s="1412">
        <f t="shared" si="443"/>
        <v>0</v>
      </c>
      <c r="F3457" s="1226"/>
      <c r="G3457" s="1226"/>
      <c r="H3457" s="1414" t="e">
        <f t="shared" si="444"/>
        <v>#DIV/0!</v>
      </c>
      <c r="I3457" s="1375">
        <f t="shared" si="448"/>
        <v>2</v>
      </c>
      <c r="J3457" s="695">
        <f t="shared" si="446"/>
        <v>0</v>
      </c>
      <c r="K3457" s="650">
        <f t="shared" si="445"/>
        <v>0</v>
      </c>
    </row>
    <row r="3458" spans="1:11" ht="24.95" customHeight="1">
      <c r="A3458" s="1376" t="s">
        <v>6193</v>
      </c>
      <c r="B3458" s="1357" t="s">
        <v>6194</v>
      </c>
      <c r="C3458" s="1226">
        <v>10</v>
      </c>
      <c r="D3458" s="1226">
        <v>1</v>
      </c>
      <c r="E3458" s="1412">
        <f t="shared" si="443"/>
        <v>0.1</v>
      </c>
      <c r="F3458" s="1226"/>
      <c r="G3458" s="1226"/>
      <c r="H3458" s="1414" t="e">
        <f t="shared" si="444"/>
        <v>#DIV/0!</v>
      </c>
      <c r="I3458" s="1375">
        <f t="shared" si="448"/>
        <v>10</v>
      </c>
      <c r="J3458" s="695">
        <f t="shared" si="446"/>
        <v>1</v>
      </c>
      <c r="K3458" s="650">
        <f t="shared" si="445"/>
        <v>0.1</v>
      </c>
    </row>
    <row r="3459" spans="1:11" ht="24.95" customHeight="1">
      <c r="A3459" s="1376" t="s">
        <v>6195</v>
      </c>
      <c r="B3459" s="1357" t="s">
        <v>6196</v>
      </c>
      <c r="C3459" s="1226"/>
      <c r="D3459" s="1226"/>
      <c r="E3459" s="1412" t="e">
        <f t="shared" si="443"/>
        <v>#DIV/0!</v>
      </c>
      <c r="F3459" s="1226">
        <v>2</v>
      </c>
      <c r="G3459" s="1226"/>
      <c r="H3459" s="1414">
        <f t="shared" si="444"/>
        <v>0</v>
      </c>
      <c r="I3459" s="1375">
        <f t="shared" si="448"/>
        <v>2</v>
      </c>
      <c r="J3459" s="695">
        <f t="shared" si="446"/>
        <v>0</v>
      </c>
      <c r="K3459" s="650">
        <f t="shared" si="445"/>
        <v>0</v>
      </c>
    </row>
    <row r="3460" spans="1:11" ht="24.95" customHeight="1">
      <c r="A3460" s="1376" t="s">
        <v>6197</v>
      </c>
      <c r="B3460" s="1357" t="s">
        <v>6198</v>
      </c>
      <c r="C3460" s="1226"/>
      <c r="D3460" s="1226"/>
      <c r="E3460" s="1412" t="e">
        <f t="shared" si="443"/>
        <v>#DIV/0!</v>
      </c>
      <c r="F3460" s="1226"/>
      <c r="G3460" s="1226"/>
      <c r="H3460" s="1414" t="e">
        <f t="shared" si="444"/>
        <v>#DIV/0!</v>
      </c>
      <c r="I3460" s="1375">
        <f t="shared" si="448"/>
        <v>0</v>
      </c>
      <c r="J3460" s="695">
        <f t="shared" si="446"/>
        <v>0</v>
      </c>
      <c r="K3460" s="650" t="e">
        <f t="shared" si="445"/>
        <v>#DIV/0!</v>
      </c>
    </row>
    <row r="3461" spans="1:11" ht="24.95" customHeight="1">
      <c r="A3461" s="1376" t="s">
        <v>6000</v>
      </c>
      <c r="B3461" s="1357" t="s">
        <v>6001</v>
      </c>
      <c r="C3461" s="1226"/>
      <c r="D3461" s="1226"/>
      <c r="E3461" s="1412" t="e">
        <f t="shared" si="443"/>
        <v>#DIV/0!</v>
      </c>
      <c r="F3461" s="1226">
        <v>25</v>
      </c>
      <c r="G3461" s="1226"/>
      <c r="H3461" s="1414">
        <f t="shared" si="444"/>
        <v>0</v>
      </c>
      <c r="I3461" s="1375">
        <f t="shared" si="448"/>
        <v>25</v>
      </c>
      <c r="J3461" s="695">
        <f t="shared" si="446"/>
        <v>0</v>
      </c>
      <c r="K3461" s="650">
        <f t="shared" si="445"/>
        <v>0</v>
      </c>
    </row>
    <row r="3462" spans="1:11" ht="24.95" customHeight="1">
      <c r="A3462" s="1376" t="s">
        <v>6199</v>
      </c>
      <c r="B3462" s="1357" t="s">
        <v>6200</v>
      </c>
      <c r="C3462" s="1226"/>
      <c r="D3462" s="1226"/>
      <c r="E3462" s="1412" t="e">
        <f t="shared" si="443"/>
        <v>#DIV/0!</v>
      </c>
      <c r="F3462" s="1226">
        <v>2</v>
      </c>
      <c r="G3462" s="1226"/>
      <c r="H3462" s="1414">
        <f t="shared" si="444"/>
        <v>0</v>
      </c>
      <c r="I3462" s="1375"/>
      <c r="J3462" s="695">
        <f t="shared" si="446"/>
        <v>0</v>
      </c>
      <c r="K3462" s="650" t="e">
        <f t="shared" si="445"/>
        <v>#DIV/0!</v>
      </c>
    </row>
    <row r="3463" spans="1:11" ht="24.95" customHeight="1">
      <c r="A3463" s="1376" t="s">
        <v>2425</v>
      </c>
      <c r="B3463" s="1357" t="s">
        <v>6201</v>
      </c>
      <c r="C3463" s="1226"/>
      <c r="D3463" s="1226"/>
      <c r="E3463" s="1412" t="e">
        <f t="shared" si="443"/>
        <v>#DIV/0!</v>
      </c>
      <c r="F3463" s="1226">
        <v>2</v>
      </c>
      <c r="G3463" s="1226"/>
      <c r="H3463" s="1414">
        <f t="shared" si="444"/>
        <v>0</v>
      </c>
      <c r="I3463" s="1375">
        <f t="shared" ref="I3463:I3476" si="449">+C3463+F3463</f>
        <v>2</v>
      </c>
      <c r="J3463" s="695">
        <f t="shared" si="446"/>
        <v>0</v>
      </c>
      <c r="K3463" s="650">
        <f t="shared" si="445"/>
        <v>0</v>
      </c>
    </row>
    <row r="3464" spans="1:11" ht="24.95" customHeight="1">
      <c r="A3464" s="1235" t="s">
        <v>2427</v>
      </c>
      <c r="B3464" s="1379" t="s">
        <v>2428</v>
      </c>
      <c r="C3464" s="1226"/>
      <c r="D3464" s="1226"/>
      <c r="E3464" s="1412" t="e">
        <f t="shared" si="443"/>
        <v>#DIV/0!</v>
      </c>
      <c r="F3464" s="1226">
        <v>10</v>
      </c>
      <c r="G3464" s="1226">
        <v>10</v>
      </c>
      <c r="H3464" s="1414">
        <f t="shared" si="444"/>
        <v>1</v>
      </c>
      <c r="I3464" s="1375">
        <f t="shared" si="449"/>
        <v>10</v>
      </c>
      <c r="J3464" s="695">
        <f t="shared" si="446"/>
        <v>10</v>
      </c>
      <c r="K3464" s="650">
        <f t="shared" si="445"/>
        <v>1</v>
      </c>
    </row>
    <row r="3465" spans="1:11" ht="24.95" customHeight="1">
      <c r="A3465" s="1376" t="s">
        <v>6006</v>
      </c>
      <c r="B3465" s="1357" t="s">
        <v>6007</v>
      </c>
      <c r="C3465" s="1226"/>
      <c r="D3465" s="1226"/>
      <c r="E3465" s="1412" t="e">
        <f t="shared" si="443"/>
        <v>#DIV/0!</v>
      </c>
      <c r="F3465" s="1226">
        <v>10</v>
      </c>
      <c r="G3465" s="1226">
        <v>5</v>
      </c>
      <c r="H3465" s="1414">
        <f t="shared" si="444"/>
        <v>0.5</v>
      </c>
      <c r="I3465" s="1375">
        <f t="shared" si="449"/>
        <v>10</v>
      </c>
      <c r="J3465" s="695">
        <f t="shared" si="446"/>
        <v>5</v>
      </c>
      <c r="K3465" s="650">
        <f t="shared" si="445"/>
        <v>0.5</v>
      </c>
    </row>
    <row r="3466" spans="1:11" ht="24.95" customHeight="1">
      <c r="A3466" s="1376" t="s">
        <v>2429</v>
      </c>
      <c r="B3466" s="1357" t="s">
        <v>2430</v>
      </c>
      <c r="C3466" s="1226">
        <v>5</v>
      </c>
      <c r="D3466" s="1226">
        <v>1</v>
      </c>
      <c r="E3466" s="1412">
        <f t="shared" si="443"/>
        <v>0.2</v>
      </c>
      <c r="F3466" s="1226">
        <v>355</v>
      </c>
      <c r="G3466" s="1226">
        <v>5</v>
      </c>
      <c r="H3466" s="1414">
        <f t="shared" si="444"/>
        <v>1.4084507042253521E-2</v>
      </c>
      <c r="I3466" s="1375">
        <f t="shared" si="449"/>
        <v>360</v>
      </c>
      <c r="J3466" s="695">
        <f t="shared" si="446"/>
        <v>6</v>
      </c>
      <c r="K3466" s="650">
        <f t="shared" si="445"/>
        <v>1.6666666666666666E-2</v>
      </c>
    </row>
    <row r="3467" spans="1:11" ht="24.95" customHeight="1">
      <c r="A3467" s="1376" t="s">
        <v>6202</v>
      </c>
      <c r="B3467" s="1378" t="s">
        <v>6203</v>
      </c>
      <c r="C3467" s="1226"/>
      <c r="D3467" s="1226"/>
      <c r="E3467" s="1412" t="e">
        <f t="shared" si="443"/>
        <v>#DIV/0!</v>
      </c>
      <c r="F3467" s="1226"/>
      <c r="G3467" s="1226"/>
      <c r="H3467" s="1414" t="e">
        <f t="shared" si="444"/>
        <v>#DIV/0!</v>
      </c>
      <c r="I3467" s="1375">
        <f t="shared" si="449"/>
        <v>0</v>
      </c>
      <c r="J3467" s="695">
        <f t="shared" si="446"/>
        <v>0</v>
      </c>
      <c r="K3467" s="650" t="e">
        <f t="shared" si="445"/>
        <v>#DIV/0!</v>
      </c>
    </row>
    <row r="3468" spans="1:11" ht="24.95" customHeight="1">
      <c r="A3468" s="1376" t="s">
        <v>5556</v>
      </c>
      <c r="B3468" s="1378" t="s">
        <v>6204</v>
      </c>
      <c r="C3468" s="1226">
        <v>15</v>
      </c>
      <c r="D3468" s="1226"/>
      <c r="E3468" s="1412">
        <f t="shared" si="443"/>
        <v>0</v>
      </c>
      <c r="F3468" s="1226">
        <v>5</v>
      </c>
      <c r="G3468" s="1226"/>
      <c r="H3468" s="1414">
        <f t="shared" si="444"/>
        <v>0</v>
      </c>
      <c r="I3468" s="1375">
        <f t="shared" si="449"/>
        <v>20</v>
      </c>
      <c r="J3468" s="695">
        <f t="shared" si="446"/>
        <v>0</v>
      </c>
      <c r="K3468" s="650">
        <f t="shared" si="445"/>
        <v>0</v>
      </c>
    </row>
    <row r="3469" spans="1:11" ht="24.95" customHeight="1">
      <c r="A3469" s="1376" t="s">
        <v>6205</v>
      </c>
      <c r="B3469" s="1233" t="s">
        <v>6206</v>
      </c>
      <c r="C3469" s="1226"/>
      <c r="D3469" s="1226"/>
      <c r="E3469" s="1412" t="e">
        <f t="shared" si="443"/>
        <v>#DIV/0!</v>
      </c>
      <c r="F3469" s="1226">
        <v>2</v>
      </c>
      <c r="G3469" s="1226"/>
      <c r="H3469" s="1414">
        <f t="shared" si="444"/>
        <v>0</v>
      </c>
      <c r="I3469" s="1375">
        <f t="shared" si="449"/>
        <v>2</v>
      </c>
      <c r="J3469" s="695">
        <f t="shared" si="446"/>
        <v>0</v>
      </c>
      <c r="K3469" s="650">
        <f t="shared" si="445"/>
        <v>0</v>
      </c>
    </row>
    <row r="3470" spans="1:11" ht="24.95" customHeight="1">
      <c r="A3470" s="1376" t="s">
        <v>6106</v>
      </c>
      <c r="B3470" s="1220" t="s">
        <v>6107</v>
      </c>
      <c r="C3470" s="1374"/>
      <c r="D3470" s="1374"/>
      <c r="E3470" s="1412" t="e">
        <f t="shared" si="443"/>
        <v>#DIV/0!</v>
      </c>
      <c r="F3470" s="723">
        <v>30</v>
      </c>
      <c r="G3470" s="723">
        <v>2</v>
      </c>
      <c r="H3470" s="1414">
        <f t="shared" si="444"/>
        <v>6.6666666666666666E-2</v>
      </c>
      <c r="I3470" s="1375">
        <f t="shared" si="449"/>
        <v>30</v>
      </c>
      <c r="J3470" s="695">
        <f t="shared" si="446"/>
        <v>2</v>
      </c>
      <c r="K3470" s="650">
        <f t="shared" si="445"/>
        <v>6.6666666666666666E-2</v>
      </c>
    </row>
    <row r="3471" spans="1:11" ht="24.95" customHeight="1">
      <c r="A3471" s="1376" t="s">
        <v>2431</v>
      </c>
      <c r="B3471" s="1220" t="s">
        <v>2432</v>
      </c>
      <c r="C3471" s="1226"/>
      <c r="D3471" s="1226"/>
      <c r="E3471" s="1412" t="e">
        <f t="shared" si="443"/>
        <v>#DIV/0!</v>
      </c>
      <c r="F3471" s="1226"/>
      <c r="G3471" s="1226"/>
      <c r="H3471" s="1414" t="e">
        <f t="shared" si="444"/>
        <v>#DIV/0!</v>
      </c>
      <c r="I3471" s="1375">
        <f t="shared" si="449"/>
        <v>0</v>
      </c>
      <c r="J3471" s="695">
        <f t="shared" si="446"/>
        <v>0</v>
      </c>
      <c r="K3471" s="650" t="e">
        <f t="shared" si="445"/>
        <v>#DIV/0!</v>
      </c>
    </row>
    <row r="3472" spans="1:11" ht="24.95" customHeight="1">
      <c r="A3472" s="1234" t="s">
        <v>4899</v>
      </c>
      <c r="B3472" s="1286" t="s">
        <v>6009</v>
      </c>
      <c r="C3472" s="1389"/>
      <c r="D3472" s="1389"/>
      <c r="E3472" s="1412" t="e">
        <f t="shared" si="443"/>
        <v>#DIV/0!</v>
      </c>
      <c r="F3472" s="1390">
        <v>2</v>
      </c>
      <c r="G3472" s="1390"/>
      <c r="H3472" s="1414">
        <f t="shared" si="444"/>
        <v>0</v>
      </c>
      <c r="I3472" s="1375">
        <f t="shared" si="449"/>
        <v>2</v>
      </c>
      <c r="J3472" s="695">
        <f t="shared" si="446"/>
        <v>0</v>
      </c>
      <c r="K3472" s="650">
        <f t="shared" si="445"/>
        <v>0</v>
      </c>
    </row>
    <row r="3473" spans="1:11" ht="24.95" customHeight="1">
      <c r="A3473" s="1376" t="s">
        <v>6207</v>
      </c>
      <c r="B3473" s="1220" t="s">
        <v>4751</v>
      </c>
      <c r="C3473" s="1226">
        <v>25</v>
      </c>
      <c r="D3473" s="1226">
        <v>11</v>
      </c>
      <c r="E3473" s="1412">
        <f t="shared" si="443"/>
        <v>0.44</v>
      </c>
      <c r="F3473" s="1226">
        <v>20</v>
      </c>
      <c r="G3473" s="1226">
        <v>4</v>
      </c>
      <c r="H3473" s="1414">
        <f t="shared" si="444"/>
        <v>0.2</v>
      </c>
      <c r="I3473" s="1375">
        <f t="shared" si="449"/>
        <v>45</v>
      </c>
      <c r="J3473" s="695">
        <f t="shared" si="446"/>
        <v>15</v>
      </c>
      <c r="K3473" s="650">
        <f t="shared" si="445"/>
        <v>0.33333333333333331</v>
      </c>
    </row>
    <row r="3474" spans="1:11" ht="24.95" customHeight="1">
      <c r="A3474" s="1376" t="s">
        <v>6208</v>
      </c>
      <c r="B3474" s="1220" t="s">
        <v>6209</v>
      </c>
      <c r="C3474" s="1226">
        <v>25</v>
      </c>
      <c r="D3474" s="1226">
        <v>1</v>
      </c>
      <c r="E3474" s="1412">
        <f t="shared" si="443"/>
        <v>0.04</v>
      </c>
      <c r="F3474" s="1226">
        <v>25</v>
      </c>
      <c r="G3474" s="1226">
        <v>15</v>
      </c>
      <c r="H3474" s="1414">
        <f t="shared" si="444"/>
        <v>0.6</v>
      </c>
      <c r="I3474" s="1375">
        <f t="shared" si="449"/>
        <v>50</v>
      </c>
      <c r="J3474" s="695">
        <f t="shared" si="446"/>
        <v>16</v>
      </c>
      <c r="K3474" s="650">
        <f t="shared" si="445"/>
        <v>0.32</v>
      </c>
    </row>
    <row r="3475" spans="1:11" ht="24.95" customHeight="1">
      <c r="A3475" s="1376" t="s">
        <v>4130</v>
      </c>
      <c r="B3475" s="1220" t="s">
        <v>4131</v>
      </c>
      <c r="C3475" s="1226"/>
      <c r="D3475" s="1226"/>
      <c r="E3475" s="1412" t="e">
        <f t="shared" si="443"/>
        <v>#DIV/0!</v>
      </c>
      <c r="F3475" s="1226">
        <v>10</v>
      </c>
      <c r="G3475" s="1226"/>
      <c r="H3475" s="1414">
        <f t="shared" si="444"/>
        <v>0</v>
      </c>
      <c r="I3475" s="1375">
        <f t="shared" si="449"/>
        <v>10</v>
      </c>
      <c r="J3475" s="695">
        <f t="shared" si="446"/>
        <v>0</v>
      </c>
      <c r="K3475" s="650">
        <f t="shared" si="445"/>
        <v>0</v>
      </c>
    </row>
    <row r="3476" spans="1:11" ht="24.95" customHeight="1">
      <c r="A3476" s="1376" t="s">
        <v>4841</v>
      </c>
      <c r="B3476" s="1220" t="s">
        <v>4842</v>
      </c>
      <c r="C3476" s="1226"/>
      <c r="D3476" s="1226"/>
      <c r="E3476" s="1412" t="e">
        <f t="shared" si="443"/>
        <v>#DIV/0!</v>
      </c>
      <c r="F3476" s="1226">
        <v>2</v>
      </c>
      <c r="G3476" s="1226"/>
      <c r="H3476" s="1414">
        <f t="shared" si="444"/>
        <v>0</v>
      </c>
      <c r="I3476" s="1375">
        <f t="shared" si="449"/>
        <v>2</v>
      </c>
      <c r="J3476" s="695">
        <f t="shared" si="446"/>
        <v>0</v>
      </c>
      <c r="K3476" s="650">
        <f t="shared" si="445"/>
        <v>0</v>
      </c>
    </row>
    <row r="3477" spans="1:11" ht="24.95" customHeight="1">
      <c r="A3477" s="1376" t="s">
        <v>4132</v>
      </c>
      <c r="B3477" s="1220" t="s">
        <v>4133</v>
      </c>
      <c r="C3477" s="1226">
        <v>5</v>
      </c>
      <c r="D3477" s="1226">
        <v>1</v>
      </c>
      <c r="E3477" s="1412">
        <f t="shared" si="443"/>
        <v>0.2</v>
      </c>
      <c r="F3477" s="1226"/>
      <c r="G3477" s="1226"/>
      <c r="H3477" s="1414" t="e">
        <f t="shared" si="444"/>
        <v>#DIV/0!</v>
      </c>
      <c r="I3477" s="1375"/>
      <c r="J3477" s="695">
        <f t="shared" si="446"/>
        <v>1</v>
      </c>
      <c r="K3477" s="650" t="e">
        <f t="shared" si="445"/>
        <v>#DIV/0!</v>
      </c>
    </row>
    <row r="3478" spans="1:11" ht="24.95" customHeight="1">
      <c r="A3478" s="1376" t="s">
        <v>6210</v>
      </c>
      <c r="B3478" s="1220" t="s">
        <v>6211</v>
      </c>
      <c r="C3478" s="1226">
        <v>1</v>
      </c>
      <c r="D3478" s="1226"/>
      <c r="E3478" s="1412">
        <f t="shared" si="443"/>
        <v>0</v>
      </c>
      <c r="F3478" s="1226"/>
      <c r="G3478" s="1226"/>
      <c r="H3478" s="1414" t="e">
        <f t="shared" si="444"/>
        <v>#DIV/0!</v>
      </c>
      <c r="I3478" s="1375"/>
      <c r="J3478" s="695">
        <f t="shared" si="446"/>
        <v>0</v>
      </c>
      <c r="K3478" s="650" t="e">
        <f t="shared" si="445"/>
        <v>#DIV/0!</v>
      </c>
    </row>
    <row r="3479" spans="1:11" ht="24.95" customHeight="1">
      <c r="A3479" s="1376" t="s">
        <v>4884</v>
      </c>
      <c r="B3479" s="1220" t="s">
        <v>4886</v>
      </c>
      <c r="C3479" s="1226">
        <v>3</v>
      </c>
      <c r="D3479" s="1226"/>
      <c r="E3479" s="1412">
        <f t="shared" si="443"/>
        <v>0</v>
      </c>
      <c r="F3479" s="1226">
        <v>2</v>
      </c>
      <c r="G3479" s="1226"/>
      <c r="H3479" s="1414">
        <f t="shared" si="444"/>
        <v>0</v>
      </c>
      <c r="I3479" s="1375"/>
      <c r="J3479" s="695">
        <f t="shared" si="446"/>
        <v>0</v>
      </c>
      <c r="K3479" s="650" t="e">
        <f t="shared" si="445"/>
        <v>#DIV/0!</v>
      </c>
    </row>
    <row r="3480" spans="1:11" ht="24.95" customHeight="1">
      <c r="A3480" s="1376" t="s">
        <v>4136</v>
      </c>
      <c r="B3480" s="1220" t="s">
        <v>4886</v>
      </c>
      <c r="C3480" s="1226">
        <v>30</v>
      </c>
      <c r="D3480" s="1226">
        <v>20</v>
      </c>
      <c r="E3480" s="1412">
        <f t="shared" si="443"/>
        <v>0.66666666666666663</v>
      </c>
      <c r="F3480" s="1226">
        <v>2</v>
      </c>
      <c r="G3480" s="1226"/>
      <c r="H3480" s="1414">
        <f t="shared" si="444"/>
        <v>0</v>
      </c>
      <c r="I3480" s="1375">
        <f t="shared" ref="I3480:I3488" si="450">+C3480+F3480</f>
        <v>32</v>
      </c>
      <c r="J3480" s="695">
        <f t="shared" si="446"/>
        <v>20</v>
      </c>
      <c r="K3480" s="650">
        <f t="shared" si="445"/>
        <v>0.625</v>
      </c>
    </row>
    <row r="3481" spans="1:11" ht="24.95" customHeight="1">
      <c r="A3481" s="1376" t="s">
        <v>4887</v>
      </c>
      <c r="B3481" s="1220" t="s">
        <v>4888</v>
      </c>
      <c r="C3481" s="1226">
        <v>5</v>
      </c>
      <c r="D3481" s="1226"/>
      <c r="E3481" s="1412">
        <f t="shared" si="443"/>
        <v>0</v>
      </c>
      <c r="F3481" s="1226"/>
      <c r="G3481" s="1226"/>
      <c r="H3481" s="1414" t="e">
        <f t="shared" si="444"/>
        <v>#DIV/0!</v>
      </c>
      <c r="I3481" s="1375">
        <f t="shared" si="450"/>
        <v>5</v>
      </c>
      <c r="J3481" s="695">
        <f t="shared" si="446"/>
        <v>0</v>
      </c>
      <c r="K3481" s="650">
        <f t="shared" si="445"/>
        <v>0</v>
      </c>
    </row>
    <row r="3482" spans="1:11" ht="24.95" customHeight="1">
      <c r="A3482" s="1376" t="s">
        <v>6212</v>
      </c>
      <c r="B3482" s="1220" t="s">
        <v>6213</v>
      </c>
      <c r="C3482" s="1226">
        <v>90</v>
      </c>
      <c r="D3482" s="1226">
        <v>48</v>
      </c>
      <c r="E3482" s="1412">
        <f t="shared" si="443"/>
        <v>0.53333333333333333</v>
      </c>
      <c r="F3482" s="1226">
        <v>1</v>
      </c>
      <c r="G3482" s="1226"/>
      <c r="H3482" s="1414">
        <f t="shared" si="444"/>
        <v>0</v>
      </c>
      <c r="I3482" s="1375">
        <f t="shared" si="450"/>
        <v>91</v>
      </c>
      <c r="J3482" s="695">
        <f t="shared" si="446"/>
        <v>48</v>
      </c>
      <c r="K3482" s="650">
        <f t="shared" si="445"/>
        <v>0.52747252747252749</v>
      </c>
    </row>
    <row r="3483" spans="1:11" ht="24.95" customHeight="1">
      <c r="A3483" s="1376" t="s">
        <v>6214</v>
      </c>
      <c r="B3483" s="1220" t="s">
        <v>2209</v>
      </c>
      <c r="C3483" s="1226">
        <v>10</v>
      </c>
      <c r="D3483" s="1226"/>
      <c r="E3483" s="1412">
        <f t="shared" si="443"/>
        <v>0</v>
      </c>
      <c r="F3483" s="1226"/>
      <c r="G3483" s="1226"/>
      <c r="H3483" s="1414" t="e">
        <f t="shared" si="444"/>
        <v>#DIV/0!</v>
      </c>
      <c r="I3483" s="1375">
        <f t="shared" si="450"/>
        <v>10</v>
      </c>
      <c r="J3483" s="695">
        <f t="shared" si="446"/>
        <v>0</v>
      </c>
      <c r="K3483" s="650">
        <f t="shared" si="445"/>
        <v>0</v>
      </c>
    </row>
    <row r="3484" spans="1:11" ht="24.95" customHeight="1">
      <c r="A3484" s="1376" t="s">
        <v>2181</v>
      </c>
      <c r="B3484" s="1220" t="s">
        <v>2182</v>
      </c>
      <c r="C3484" s="1226">
        <v>80</v>
      </c>
      <c r="D3484" s="1226">
        <v>45</v>
      </c>
      <c r="E3484" s="1412">
        <f t="shared" si="443"/>
        <v>0.5625</v>
      </c>
      <c r="F3484" s="1226">
        <v>40</v>
      </c>
      <c r="G3484" s="1226">
        <v>23</v>
      </c>
      <c r="H3484" s="1414">
        <f t="shared" si="444"/>
        <v>0.57499999999999996</v>
      </c>
      <c r="I3484" s="1375">
        <f t="shared" si="450"/>
        <v>120</v>
      </c>
      <c r="J3484" s="695">
        <f t="shared" si="446"/>
        <v>68</v>
      </c>
      <c r="K3484" s="650">
        <f t="shared" si="445"/>
        <v>0.56666666666666665</v>
      </c>
    </row>
    <row r="3485" spans="1:11" ht="24.95" customHeight="1">
      <c r="A3485" s="1376">
        <v>600349</v>
      </c>
      <c r="B3485" s="1265" t="s">
        <v>2434</v>
      </c>
      <c r="C3485" s="1226"/>
      <c r="D3485" s="1226"/>
      <c r="E3485" s="1412" t="e">
        <f t="shared" si="443"/>
        <v>#DIV/0!</v>
      </c>
      <c r="F3485" s="1226">
        <v>100</v>
      </c>
      <c r="G3485" s="1226"/>
      <c r="H3485" s="1414">
        <f t="shared" si="444"/>
        <v>0</v>
      </c>
      <c r="I3485" s="1375">
        <f t="shared" si="450"/>
        <v>100</v>
      </c>
      <c r="J3485" s="695">
        <f t="shared" si="446"/>
        <v>0</v>
      </c>
      <c r="K3485" s="650">
        <f t="shared" si="445"/>
        <v>0</v>
      </c>
    </row>
    <row r="3486" spans="1:11" ht="24.95" customHeight="1">
      <c r="A3486" s="1376" t="s">
        <v>2435</v>
      </c>
      <c r="B3486" s="1265" t="s">
        <v>2436</v>
      </c>
      <c r="C3486" s="1226"/>
      <c r="D3486" s="1226"/>
      <c r="E3486" s="1412" t="e">
        <f t="shared" si="443"/>
        <v>#DIV/0!</v>
      </c>
      <c r="F3486" s="1226">
        <v>2</v>
      </c>
      <c r="G3486" s="1226"/>
      <c r="H3486" s="1414">
        <f t="shared" si="444"/>
        <v>0</v>
      </c>
      <c r="I3486" s="1375">
        <f t="shared" si="450"/>
        <v>2</v>
      </c>
      <c r="J3486" s="695">
        <f t="shared" si="446"/>
        <v>0</v>
      </c>
      <c r="K3486" s="650">
        <f t="shared" si="445"/>
        <v>0</v>
      </c>
    </row>
    <row r="3487" spans="1:11" ht="24.95" customHeight="1">
      <c r="A3487" s="1235" t="s">
        <v>2437</v>
      </c>
      <c r="B3487" s="1236" t="s">
        <v>2438</v>
      </c>
      <c r="C3487" s="1226"/>
      <c r="D3487" s="1226"/>
      <c r="E3487" s="1412" t="e">
        <f t="shared" si="443"/>
        <v>#DIV/0!</v>
      </c>
      <c r="F3487" s="1226">
        <v>15</v>
      </c>
      <c r="G3487" s="1226"/>
      <c r="H3487" s="1414">
        <f t="shared" si="444"/>
        <v>0</v>
      </c>
      <c r="I3487" s="1375">
        <f t="shared" si="450"/>
        <v>15</v>
      </c>
      <c r="J3487" s="695">
        <f t="shared" si="446"/>
        <v>0</v>
      </c>
      <c r="K3487" s="650">
        <f t="shared" si="445"/>
        <v>0</v>
      </c>
    </row>
    <row r="3488" spans="1:11" ht="24.95" customHeight="1">
      <c r="A3488" s="1376" t="s">
        <v>2439</v>
      </c>
      <c r="B3488" s="1236" t="s">
        <v>2440</v>
      </c>
      <c r="C3488" s="1226">
        <v>445</v>
      </c>
      <c r="D3488" s="1226">
        <f>92+66</f>
        <v>158</v>
      </c>
      <c r="E3488" s="1412">
        <f t="shared" ref="E3488:E3551" si="451">+D3488/C3488</f>
        <v>0.35505617977528092</v>
      </c>
      <c r="F3488" s="1226">
        <v>5800</v>
      </c>
      <c r="G3488" s="1226">
        <f>2869+3</f>
        <v>2872</v>
      </c>
      <c r="H3488" s="1414">
        <f t="shared" ref="H3488:H3551" si="452">+G3488/F3488</f>
        <v>0.49517241379310345</v>
      </c>
      <c r="I3488" s="1375">
        <f t="shared" si="450"/>
        <v>6245</v>
      </c>
      <c r="J3488" s="695">
        <f t="shared" si="446"/>
        <v>3030</v>
      </c>
      <c r="K3488" s="650">
        <f t="shared" ref="K3488:K3551" si="453">+J3488/I3488</f>
        <v>0.48518815052041631</v>
      </c>
    </row>
    <row r="3489" spans="1:11" ht="24.95" customHeight="1">
      <c r="A3489" s="1376" t="s">
        <v>2354</v>
      </c>
      <c r="B3489" s="1236" t="s">
        <v>6215</v>
      </c>
      <c r="C3489" s="1226"/>
      <c r="D3489" s="1226"/>
      <c r="E3489" s="1412" t="e">
        <f t="shared" si="451"/>
        <v>#DIV/0!</v>
      </c>
      <c r="F3489" s="1226">
        <v>2</v>
      </c>
      <c r="G3489" s="1226"/>
      <c r="H3489" s="1414">
        <f t="shared" si="452"/>
        <v>0</v>
      </c>
      <c r="I3489" s="1375"/>
      <c r="J3489" s="695">
        <f t="shared" si="446"/>
        <v>0</v>
      </c>
      <c r="K3489" s="650" t="e">
        <f t="shared" si="453"/>
        <v>#DIV/0!</v>
      </c>
    </row>
    <row r="3490" spans="1:11" ht="24.95" customHeight="1">
      <c r="A3490" s="1376" t="s">
        <v>5254</v>
      </c>
      <c r="B3490" s="1220" t="s">
        <v>5255</v>
      </c>
      <c r="C3490" s="1226">
        <v>5</v>
      </c>
      <c r="D3490" s="1226"/>
      <c r="E3490" s="1412">
        <f t="shared" si="451"/>
        <v>0</v>
      </c>
      <c r="F3490" s="1226">
        <v>410</v>
      </c>
      <c r="G3490" s="1226">
        <v>182</v>
      </c>
      <c r="H3490" s="1414">
        <f t="shared" si="452"/>
        <v>0.44390243902439025</v>
      </c>
      <c r="I3490" s="1375">
        <f>+C3490+F3490</f>
        <v>415</v>
      </c>
      <c r="J3490" s="695">
        <f t="shared" si="446"/>
        <v>182</v>
      </c>
      <c r="K3490" s="650">
        <f t="shared" si="453"/>
        <v>0.43855421686746987</v>
      </c>
    </row>
    <row r="3491" spans="1:11" ht="24.95" customHeight="1">
      <c r="A3491" s="1376" t="s">
        <v>6216</v>
      </c>
      <c r="B3491" s="1220" t="s">
        <v>6217</v>
      </c>
      <c r="C3491" s="1226"/>
      <c r="D3491" s="1226"/>
      <c r="E3491" s="1412" t="e">
        <f t="shared" si="451"/>
        <v>#DIV/0!</v>
      </c>
      <c r="F3491" s="1226"/>
      <c r="G3491" s="1226"/>
      <c r="H3491" s="1414" t="e">
        <f t="shared" si="452"/>
        <v>#DIV/0!</v>
      </c>
      <c r="I3491" s="1375"/>
      <c r="J3491" s="695">
        <f t="shared" si="446"/>
        <v>0</v>
      </c>
      <c r="K3491" s="650" t="e">
        <f t="shared" si="453"/>
        <v>#DIV/0!</v>
      </c>
    </row>
    <row r="3492" spans="1:11" ht="24.95" customHeight="1">
      <c r="A3492" s="1376" t="s">
        <v>6218</v>
      </c>
      <c r="B3492" s="1220" t="s">
        <v>6219</v>
      </c>
      <c r="C3492" s="1226"/>
      <c r="D3492" s="1226"/>
      <c r="E3492" s="1412" t="e">
        <f t="shared" si="451"/>
        <v>#DIV/0!</v>
      </c>
      <c r="F3492" s="1226"/>
      <c r="G3492" s="1226"/>
      <c r="H3492" s="1414" t="e">
        <f t="shared" si="452"/>
        <v>#DIV/0!</v>
      </c>
      <c r="I3492" s="1375">
        <f t="shared" ref="I3492:J3507" si="454">+C3492+F3492</f>
        <v>0</v>
      </c>
      <c r="J3492" s="695">
        <f t="shared" si="446"/>
        <v>0</v>
      </c>
      <c r="K3492" s="650" t="e">
        <f t="shared" si="453"/>
        <v>#DIV/0!</v>
      </c>
    </row>
    <row r="3493" spans="1:11" ht="24.95" customHeight="1">
      <c r="A3493" s="1376" t="s">
        <v>6220</v>
      </c>
      <c r="B3493" s="1220" t="s">
        <v>6221</v>
      </c>
      <c r="C3493" s="1226">
        <v>1</v>
      </c>
      <c r="D3493" s="1226"/>
      <c r="E3493" s="1412">
        <f t="shared" si="451"/>
        <v>0</v>
      </c>
      <c r="F3493" s="1226"/>
      <c r="G3493" s="1226"/>
      <c r="H3493" s="1414" t="e">
        <f t="shared" si="452"/>
        <v>#DIV/0!</v>
      </c>
      <c r="I3493" s="1375">
        <f t="shared" si="454"/>
        <v>1</v>
      </c>
      <c r="J3493" s="695">
        <f t="shared" si="446"/>
        <v>0</v>
      </c>
      <c r="K3493" s="650">
        <f t="shared" si="453"/>
        <v>0</v>
      </c>
    </row>
    <row r="3494" spans="1:11" ht="24.95" customHeight="1">
      <c r="A3494" s="1376" t="s">
        <v>6222</v>
      </c>
      <c r="B3494" s="1220" t="s">
        <v>6223</v>
      </c>
      <c r="C3494" s="1226">
        <v>10</v>
      </c>
      <c r="D3494" s="1226">
        <v>3</v>
      </c>
      <c r="E3494" s="1412">
        <f t="shared" si="451"/>
        <v>0.3</v>
      </c>
      <c r="F3494" s="1226"/>
      <c r="G3494" s="1226"/>
      <c r="H3494" s="1414" t="e">
        <f t="shared" si="452"/>
        <v>#DIV/0!</v>
      </c>
      <c r="I3494" s="1375">
        <f t="shared" si="454"/>
        <v>10</v>
      </c>
      <c r="J3494" s="695">
        <f t="shared" si="446"/>
        <v>3</v>
      </c>
      <c r="K3494" s="650">
        <f t="shared" si="453"/>
        <v>0.3</v>
      </c>
    </row>
    <row r="3495" spans="1:11" ht="24.95" customHeight="1">
      <c r="A3495" s="1376" t="s">
        <v>6224</v>
      </c>
      <c r="B3495" s="1220" t="s">
        <v>6225</v>
      </c>
      <c r="C3495" s="1226">
        <v>1</v>
      </c>
      <c r="D3495" s="1226"/>
      <c r="E3495" s="1412">
        <f t="shared" si="451"/>
        <v>0</v>
      </c>
      <c r="F3495" s="1226">
        <v>5</v>
      </c>
      <c r="G3495" s="1226">
        <v>1</v>
      </c>
      <c r="H3495" s="1414">
        <f t="shared" si="452"/>
        <v>0.2</v>
      </c>
      <c r="I3495" s="1375">
        <f t="shared" si="454"/>
        <v>6</v>
      </c>
      <c r="J3495" s="695">
        <f t="shared" si="446"/>
        <v>1</v>
      </c>
      <c r="K3495" s="650">
        <f t="shared" si="453"/>
        <v>0.16666666666666666</v>
      </c>
    </row>
    <row r="3496" spans="1:11" ht="24.95" customHeight="1">
      <c r="A3496" s="1376" t="s">
        <v>6226</v>
      </c>
      <c r="B3496" s="1220" t="s">
        <v>6227</v>
      </c>
      <c r="C3496" s="1226"/>
      <c r="D3496" s="1226"/>
      <c r="E3496" s="1412" t="e">
        <f t="shared" si="451"/>
        <v>#DIV/0!</v>
      </c>
      <c r="F3496" s="1226">
        <v>2</v>
      </c>
      <c r="G3496" s="1226"/>
      <c r="H3496" s="1414">
        <f t="shared" si="452"/>
        <v>0</v>
      </c>
      <c r="I3496" s="1375">
        <f t="shared" si="454"/>
        <v>2</v>
      </c>
      <c r="J3496" s="695">
        <f t="shared" si="454"/>
        <v>0</v>
      </c>
      <c r="K3496" s="650">
        <f t="shared" si="453"/>
        <v>0</v>
      </c>
    </row>
    <row r="3497" spans="1:11" ht="24.95" customHeight="1">
      <c r="A3497" s="1376" t="s">
        <v>6228</v>
      </c>
      <c r="B3497" s="1220" t="s">
        <v>6229</v>
      </c>
      <c r="C3497" s="1226">
        <v>1</v>
      </c>
      <c r="D3497" s="1226"/>
      <c r="E3497" s="1412">
        <f t="shared" si="451"/>
        <v>0</v>
      </c>
      <c r="F3497" s="1226"/>
      <c r="G3497" s="1226"/>
      <c r="H3497" s="1414" t="e">
        <f t="shared" si="452"/>
        <v>#DIV/0!</v>
      </c>
      <c r="I3497" s="1375">
        <f t="shared" si="454"/>
        <v>1</v>
      </c>
      <c r="J3497" s="695">
        <f t="shared" si="454"/>
        <v>0</v>
      </c>
      <c r="K3497" s="650">
        <f t="shared" si="453"/>
        <v>0</v>
      </c>
    </row>
    <row r="3498" spans="1:11" ht="24.95" customHeight="1">
      <c r="A3498" s="1376" t="s">
        <v>4393</v>
      </c>
      <c r="B3498" s="1220" t="s">
        <v>4394</v>
      </c>
      <c r="C3498" s="1226">
        <v>600</v>
      </c>
      <c r="D3498" s="1226">
        <v>185</v>
      </c>
      <c r="E3498" s="1412">
        <f t="shared" si="451"/>
        <v>0.30833333333333335</v>
      </c>
      <c r="F3498" s="1226">
        <v>515</v>
      </c>
      <c r="G3498" s="1226">
        <f>6+227</f>
        <v>233</v>
      </c>
      <c r="H3498" s="1414">
        <f t="shared" si="452"/>
        <v>0.45242718446601943</v>
      </c>
      <c r="I3498" s="1375">
        <f t="shared" si="454"/>
        <v>1115</v>
      </c>
      <c r="J3498" s="695">
        <f t="shared" si="454"/>
        <v>418</v>
      </c>
      <c r="K3498" s="650">
        <f t="shared" si="453"/>
        <v>0.37488789237668163</v>
      </c>
    </row>
    <row r="3499" spans="1:11" ht="24.95" customHeight="1">
      <c r="A3499" s="1376" t="s">
        <v>5160</v>
      </c>
      <c r="B3499" s="1220" t="s">
        <v>6230</v>
      </c>
      <c r="C3499" s="1226"/>
      <c r="D3499" s="1226"/>
      <c r="E3499" s="1412" t="e">
        <f t="shared" si="451"/>
        <v>#DIV/0!</v>
      </c>
      <c r="F3499" s="1226"/>
      <c r="G3499" s="1226"/>
      <c r="H3499" s="1414" t="e">
        <f t="shared" si="452"/>
        <v>#DIV/0!</v>
      </c>
      <c r="I3499" s="1375">
        <f t="shared" si="454"/>
        <v>0</v>
      </c>
      <c r="J3499" s="695">
        <f t="shared" si="454"/>
        <v>0</v>
      </c>
      <c r="K3499" s="650" t="e">
        <f t="shared" si="453"/>
        <v>#DIV/0!</v>
      </c>
    </row>
    <row r="3500" spans="1:11" ht="24.95" customHeight="1">
      <c r="A3500" s="1376" t="s">
        <v>2894</v>
      </c>
      <c r="B3500" s="1220" t="s">
        <v>2895</v>
      </c>
      <c r="C3500" s="1226">
        <v>445</v>
      </c>
      <c r="D3500" s="1226">
        <v>241</v>
      </c>
      <c r="E3500" s="1412">
        <f t="shared" si="451"/>
        <v>0.54157303370786514</v>
      </c>
      <c r="F3500" s="1226">
        <v>75</v>
      </c>
      <c r="G3500" s="1226">
        <f>8+126</f>
        <v>134</v>
      </c>
      <c r="H3500" s="1414">
        <f t="shared" si="452"/>
        <v>1.7866666666666666</v>
      </c>
      <c r="I3500" s="1375">
        <f t="shared" si="454"/>
        <v>520</v>
      </c>
      <c r="J3500" s="695">
        <f t="shared" si="454"/>
        <v>375</v>
      </c>
      <c r="K3500" s="650">
        <f t="shared" si="453"/>
        <v>0.72115384615384615</v>
      </c>
    </row>
    <row r="3501" spans="1:11" ht="24.95" customHeight="1">
      <c r="A3501" s="1376" t="s">
        <v>6231</v>
      </c>
      <c r="B3501" s="1220" t="s">
        <v>6232</v>
      </c>
      <c r="C3501" s="1226"/>
      <c r="D3501" s="1226"/>
      <c r="E3501" s="1412" t="e">
        <f t="shared" si="451"/>
        <v>#DIV/0!</v>
      </c>
      <c r="F3501" s="1226">
        <v>2</v>
      </c>
      <c r="G3501" s="1226"/>
      <c r="H3501" s="1414">
        <f t="shared" si="452"/>
        <v>0</v>
      </c>
      <c r="I3501" s="1375"/>
      <c r="J3501" s="695">
        <f t="shared" si="454"/>
        <v>0</v>
      </c>
      <c r="K3501" s="650" t="e">
        <f t="shared" si="453"/>
        <v>#DIV/0!</v>
      </c>
    </row>
    <row r="3502" spans="1:11" ht="24.95" customHeight="1">
      <c r="A3502" s="1376" t="s">
        <v>6233</v>
      </c>
      <c r="B3502" s="1220" t="s">
        <v>6234</v>
      </c>
      <c r="C3502" s="1226">
        <v>1450</v>
      </c>
      <c r="D3502" s="1226">
        <v>790</v>
      </c>
      <c r="E3502" s="1412">
        <f t="shared" si="451"/>
        <v>0.54482758620689653</v>
      </c>
      <c r="F3502" s="1226">
        <v>2</v>
      </c>
      <c r="G3502" s="1226">
        <v>1</v>
      </c>
      <c r="H3502" s="1414">
        <f t="shared" si="452"/>
        <v>0.5</v>
      </c>
      <c r="I3502" s="1375">
        <f>+C3502+F3502</f>
        <v>1452</v>
      </c>
      <c r="J3502" s="695">
        <f t="shared" si="454"/>
        <v>791</v>
      </c>
      <c r="K3502" s="650">
        <f t="shared" si="453"/>
        <v>0.54476584022038566</v>
      </c>
    </row>
    <row r="3503" spans="1:11" ht="24.95" customHeight="1">
      <c r="A3503" s="1376" t="s">
        <v>6235</v>
      </c>
      <c r="B3503" s="1220" t="s">
        <v>6236</v>
      </c>
      <c r="C3503" s="1226">
        <v>10</v>
      </c>
      <c r="D3503" s="1226">
        <v>1</v>
      </c>
      <c r="E3503" s="1412">
        <f t="shared" si="451"/>
        <v>0.1</v>
      </c>
      <c r="F3503" s="1226"/>
      <c r="G3503" s="1226"/>
      <c r="H3503" s="1414" t="e">
        <f t="shared" si="452"/>
        <v>#DIV/0!</v>
      </c>
      <c r="I3503" s="1375">
        <f>+C3503+F3503</f>
        <v>10</v>
      </c>
      <c r="J3503" s="695">
        <f t="shared" si="454"/>
        <v>1</v>
      </c>
      <c r="K3503" s="650">
        <f t="shared" si="453"/>
        <v>0.1</v>
      </c>
    </row>
    <row r="3504" spans="1:11" ht="24.95" customHeight="1">
      <c r="A3504" s="1376" t="s">
        <v>6237</v>
      </c>
      <c r="B3504" s="1220" t="s">
        <v>6238</v>
      </c>
      <c r="C3504" s="1226"/>
      <c r="D3504" s="1226"/>
      <c r="E3504" s="1412" t="e">
        <f t="shared" si="451"/>
        <v>#DIV/0!</v>
      </c>
      <c r="F3504" s="1226"/>
      <c r="G3504" s="1226"/>
      <c r="H3504" s="1414" t="e">
        <f t="shared" si="452"/>
        <v>#DIV/0!</v>
      </c>
      <c r="I3504" s="1375">
        <f>+C3504+F3504</f>
        <v>0</v>
      </c>
      <c r="J3504" s="695">
        <f t="shared" si="454"/>
        <v>0</v>
      </c>
      <c r="K3504" s="650" t="e">
        <f t="shared" si="453"/>
        <v>#DIV/0!</v>
      </c>
    </row>
    <row r="3505" spans="1:11" ht="24.95" customHeight="1">
      <c r="A3505" s="1376" t="s">
        <v>2896</v>
      </c>
      <c r="B3505" s="1220" t="s">
        <v>2897</v>
      </c>
      <c r="C3505" s="1226">
        <v>25</v>
      </c>
      <c r="D3505" s="1226">
        <v>7</v>
      </c>
      <c r="E3505" s="1412">
        <f t="shared" si="451"/>
        <v>0.28000000000000003</v>
      </c>
      <c r="F3505" s="1226">
        <v>9830</v>
      </c>
      <c r="G3505" s="1226">
        <f>4290+81</f>
        <v>4371</v>
      </c>
      <c r="H3505" s="1414">
        <f t="shared" si="452"/>
        <v>0.44465920651068158</v>
      </c>
      <c r="I3505" s="1375">
        <f>+C3505+F3505</f>
        <v>9855</v>
      </c>
      <c r="J3505" s="695">
        <f t="shared" si="454"/>
        <v>4378</v>
      </c>
      <c r="K3505" s="650">
        <f t="shared" si="453"/>
        <v>0.44424150177574834</v>
      </c>
    </row>
    <row r="3506" spans="1:11" ht="24.95" customHeight="1">
      <c r="A3506" s="1376" t="s">
        <v>3080</v>
      </c>
      <c r="B3506" s="1220" t="s">
        <v>3081</v>
      </c>
      <c r="C3506" s="1226"/>
      <c r="D3506" s="1226"/>
      <c r="E3506" s="1412" t="e">
        <f t="shared" si="451"/>
        <v>#DIV/0!</v>
      </c>
      <c r="F3506" s="1226"/>
      <c r="G3506" s="1226"/>
      <c r="H3506" s="1414" t="e">
        <f t="shared" si="452"/>
        <v>#DIV/0!</v>
      </c>
      <c r="I3506" s="1375"/>
      <c r="J3506" s="695">
        <f t="shared" si="454"/>
        <v>0</v>
      </c>
      <c r="K3506" s="650" t="e">
        <f t="shared" si="453"/>
        <v>#DIV/0!</v>
      </c>
    </row>
    <row r="3507" spans="1:11" ht="24.95" customHeight="1">
      <c r="A3507" s="1376" t="s">
        <v>2449</v>
      </c>
      <c r="B3507" s="1220" t="s">
        <v>2450</v>
      </c>
      <c r="C3507" s="1226"/>
      <c r="D3507" s="1226"/>
      <c r="E3507" s="1412" t="e">
        <f t="shared" si="451"/>
        <v>#DIV/0!</v>
      </c>
      <c r="F3507" s="1226">
        <v>55</v>
      </c>
      <c r="G3507" s="1226">
        <v>32</v>
      </c>
      <c r="H3507" s="1414">
        <f t="shared" si="452"/>
        <v>0.58181818181818179</v>
      </c>
      <c r="I3507" s="1375">
        <f t="shared" ref="I3507:J3538" si="455">+C3507+F3507</f>
        <v>55</v>
      </c>
      <c r="J3507" s="695">
        <f t="shared" si="454"/>
        <v>32</v>
      </c>
      <c r="K3507" s="650">
        <f t="shared" si="453"/>
        <v>0.58181818181818179</v>
      </c>
    </row>
    <row r="3508" spans="1:11" ht="24.95" customHeight="1">
      <c r="A3508" s="1376" t="s">
        <v>2451</v>
      </c>
      <c r="B3508" s="1220" t="s">
        <v>2452</v>
      </c>
      <c r="C3508" s="1226"/>
      <c r="D3508" s="1226"/>
      <c r="E3508" s="1412" t="e">
        <f t="shared" si="451"/>
        <v>#DIV/0!</v>
      </c>
      <c r="F3508" s="1226">
        <v>100</v>
      </c>
      <c r="G3508" s="1226"/>
      <c r="H3508" s="1414">
        <f t="shared" si="452"/>
        <v>0</v>
      </c>
      <c r="I3508" s="1375">
        <f t="shared" si="455"/>
        <v>100</v>
      </c>
      <c r="J3508" s="695">
        <f t="shared" si="455"/>
        <v>0</v>
      </c>
      <c r="K3508" s="650">
        <f t="shared" si="453"/>
        <v>0</v>
      </c>
    </row>
    <row r="3509" spans="1:11" ht="24.95" customHeight="1">
      <c r="A3509" s="1376" t="s">
        <v>5266</v>
      </c>
      <c r="B3509" s="1220" t="s">
        <v>5267</v>
      </c>
      <c r="C3509" s="1226"/>
      <c r="D3509" s="1226"/>
      <c r="E3509" s="1412" t="e">
        <f t="shared" si="451"/>
        <v>#DIV/0!</v>
      </c>
      <c r="F3509" s="1226"/>
      <c r="G3509" s="1226"/>
      <c r="H3509" s="1414" t="e">
        <f t="shared" si="452"/>
        <v>#DIV/0!</v>
      </c>
      <c r="I3509" s="1375">
        <f t="shared" si="455"/>
        <v>0</v>
      </c>
      <c r="J3509" s="695">
        <f t="shared" si="455"/>
        <v>0</v>
      </c>
      <c r="K3509" s="650" t="e">
        <f t="shared" si="453"/>
        <v>#DIV/0!</v>
      </c>
    </row>
    <row r="3510" spans="1:11" ht="24.95" customHeight="1">
      <c r="A3510" s="1376" t="s">
        <v>2455</v>
      </c>
      <c r="B3510" s="1235" t="s">
        <v>2456</v>
      </c>
      <c r="C3510" s="1226">
        <v>5</v>
      </c>
      <c r="D3510" s="1226">
        <v>2</v>
      </c>
      <c r="E3510" s="1412">
        <f t="shared" si="451"/>
        <v>0.4</v>
      </c>
      <c r="F3510" s="1226">
        <v>70</v>
      </c>
      <c r="G3510" s="1226">
        <v>861</v>
      </c>
      <c r="H3510" s="1414">
        <f t="shared" si="452"/>
        <v>12.3</v>
      </c>
      <c r="I3510" s="1375">
        <f t="shared" si="455"/>
        <v>75</v>
      </c>
      <c r="J3510" s="695">
        <f t="shared" si="455"/>
        <v>863</v>
      </c>
      <c r="K3510" s="650">
        <f t="shared" si="453"/>
        <v>11.506666666666666</v>
      </c>
    </row>
    <row r="3511" spans="1:11" ht="24.95" customHeight="1">
      <c r="A3511" s="1376" t="s">
        <v>2457</v>
      </c>
      <c r="B3511" s="1220" t="s">
        <v>6239</v>
      </c>
      <c r="C3511" s="1226"/>
      <c r="D3511" s="1226"/>
      <c r="E3511" s="1412" t="e">
        <f t="shared" si="451"/>
        <v>#DIV/0!</v>
      </c>
      <c r="F3511" s="1226">
        <v>5</v>
      </c>
      <c r="G3511" s="1226"/>
      <c r="H3511" s="1414">
        <f t="shared" si="452"/>
        <v>0</v>
      </c>
      <c r="I3511" s="1375">
        <f t="shared" si="455"/>
        <v>5</v>
      </c>
      <c r="J3511" s="695">
        <f t="shared" si="455"/>
        <v>0</v>
      </c>
      <c r="K3511" s="650">
        <f t="shared" si="453"/>
        <v>0</v>
      </c>
    </row>
    <row r="3512" spans="1:11" ht="24.95" customHeight="1">
      <c r="A3512" s="1376" t="s">
        <v>6240</v>
      </c>
      <c r="B3512" s="1220" t="s">
        <v>6241</v>
      </c>
      <c r="C3512" s="1226"/>
      <c r="D3512" s="1226"/>
      <c r="E3512" s="1412" t="e">
        <f t="shared" si="451"/>
        <v>#DIV/0!</v>
      </c>
      <c r="F3512" s="1226">
        <v>2</v>
      </c>
      <c r="G3512" s="1226"/>
      <c r="H3512" s="1414">
        <f t="shared" si="452"/>
        <v>0</v>
      </c>
      <c r="I3512" s="1375">
        <f t="shared" si="455"/>
        <v>2</v>
      </c>
      <c r="J3512" s="695">
        <f t="shared" si="455"/>
        <v>0</v>
      </c>
      <c r="K3512" s="650">
        <f t="shared" si="453"/>
        <v>0</v>
      </c>
    </row>
    <row r="3513" spans="1:11" ht="24.95" customHeight="1">
      <c r="A3513" s="1376" t="s">
        <v>3804</v>
      </c>
      <c r="B3513" s="1220" t="s">
        <v>3134</v>
      </c>
      <c r="C3513" s="1226"/>
      <c r="D3513" s="1226"/>
      <c r="E3513" s="1412" t="e">
        <f t="shared" si="451"/>
        <v>#DIV/0!</v>
      </c>
      <c r="F3513" s="1226">
        <v>2</v>
      </c>
      <c r="G3513" s="1226">
        <v>1</v>
      </c>
      <c r="H3513" s="1414">
        <f t="shared" si="452"/>
        <v>0.5</v>
      </c>
      <c r="I3513" s="1375">
        <f t="shared" si="455"/>
        <v>2</v>
      </c>
      <c r="J3513" s="695">
        <f t="shared" si="455"/>
        <v>1</v>
      </c>
      <c r="K3513" s="650">
        <f t="shared" si="453"/>
        <v>0.5</v>
      </c>
    </row>
    <row r="3514" spans="1:11" ht="24.95" customHeight="1">
      <c r="A3514" s="1376" t="s">
        <v>6242</v>
      </c>
      <c r="B3514" s="1220" t="s">
        <v>6243</v>
      </c>
      <c r="C3514" s="1226"/>
      <c r="D3514" s="1226"/>
      <c r="E3514" s="1412" t="e">
        <f t="shared" si="451"/>
        <v>#DIV/0!</v>
      </c>
      <c r="F3514" s="1226">
        <v>2</v>
      </c>
      <c r="G3514" s="1226"/>
      <c r="H3514" s="1414">
        <f t="shared" si="452"/>
        <v>0</v>
      </c>
      <c r="I3514" s="1375">
        <f t="shared" si="455"/>
        <v>2</v>
      </c>
      <c r="J3514" s="695">
        <f t="shared" si="455"/>
        <v>0</v>
      </c>
      <c r="K3514" s="650">
        <f t="shared" si="453"/>
        <v>0</v>
      </c>
    </row>
    <row r="3515" spans="1:11" ht="24.95" customHeight="1">
      <c r="A3515" s="1376" t="s">
        <v>2469</v>
      </c>
      <c r="B3515" s="1220" t="s">
        <v>2470</v>
      </c>
      <c r="C3515" s="1226"/>
      <c r="D3515" s="1226"/>
      <c r="E3515" s="1412" t="e">
        <f t="shared" si="451"/>
        <v>#DIV/0!</v>
      </c>
      <c r="F3515" s="1226">
        <v>310</v>
      </c>
      <c r="G3515" s="1226">
        <v>135</v>
      </c>
      <c r="H3515" s="1414">
        <f t="shared" si="452"/>
        <v>0.43548387096774194</v>
      </c>
      <c r="I3515" s="1375">
        <f t="shared" si="455"/>
        <v>310</v>
      </c>
      <c r="J3515" s="695">
        <f t="shared" si="455"/>
        <v>135</v>
      </c>
      <c r="K3515" s="650">
        <f t="shared" si="453"/>
        <v>0.43548387096774194</v>
      </c>
    </row>
    <row r="3516" spans="1:11" ht="24.95" customHeight="1">
      <c r="A3516" s="1376" t="s">
        <v>2904</v>
      </c>
      <c r="B3516" s="1220" t="s">
        <v>2905</v>
      </c>
      <c r="C3516" s="1226"/>
      <c r="D3516" s="1226"/>
      <c r="E3516" s="1412" t="e">
        <f t="shared" si="451"/>
        <v>#DIV/0!</v>
      </c>
      <c r="F3516" s="1226">
        <v>100</v>
      </c>
      <c r="G3516" s="1226">
        <v>30</v>
      </c>
      <c r="H3516" s="1414">
        <f t="shared" si="452"/>
        <v>0.3</v>
      </c>
      <c r="I3516" s="1375">
        <f t="shared" si="455"/>
        <v>100</v>
      </c>
      <c r="J3516" s="695">
        <f t="shared" si="455"/>
        <v>30</v>
      </c>
      <c r="K3516" s="650">
        <f t="shared" si="453"/>
        <v>0.3</v>
      </c>
    </row>
    <row r="3517" spans="1:11" ht="24.95" customHeight="1">
      <c r="A3517" s="1376" t="s">
        <v>2473</v>
      </c>
      <c r="B3517" s="1220" t="s">
        <v>2474</v>
      </c>
      <c r="C3517" s="1226"/>
      <c r="D3517" s="1226"/>
      <c r="E3517" s="1412" t="e">
        <f t="shared" si="451"/>
        <v>#DIV/0!</v>
      </c>
      <c r="F3517" s="1226">
        <v>2</v>
      </c>
      <c r="G3517" s="1226"/>
      <c r="H3517" s="1414">
        <f t="shared" si="452"/>
        <v>0</v>
      </c>
      <c r="I3517" s="1375">
        <f t="shared" si="455"/>
        <v>2</v>
      </c>
      <c r="J3517" s="695">
        <f t="shared" si="455"/>
        <v>0</v>
      </c>
      <c r="K3517" s="650">
        <f t="shared" si="453"/>
        <v>0</v>
      </c>
    </row>
    <row r="3518" spans="1:11" ht="24.95" customHeight="1">
      <c r="A3518" s="1376" t="s">
        <v>6244</v>
      </c>
      <c r="B3518" s="1220" t="s">
        <v>6245</v>
      </c>
      <c r="C3518" s="1226"/>
      <c r="D3518" s="1226"/>
      <c r="E3518" s="1412" t="e">
        <f t="shared" si="451"/>
        <v>#DIV/0!</v>
      </c>
      <c r="F3518" s="1226"/>
      <c r="G3518" s="1226"/>
      <c r="H3518" s="1414" t="e">
        <f t="shared" si="452"/>
        <v>#DIV/0!</v>
      </c>
      <c r="I3518" s="1375">
        <f t="shared" si="455"/>
        <v>0</v>
      </c>
      <c r="J3518" s="695">
        <f t="shared" si="455"/>
        <v>0</v>
      </c>
      <c r="K3518" s="650" t="e">
        <f t="shared" si="453"/>
        <v>#DIV/0!</v>
      </c>
    </row>
    <row r="3519" spans="1:11" ht="24.95" customHeight="1">
      <c r="A3519" s="1376" t="s">
        <v>6246</v>
      </c>
      <c r="B3519" s="1220" t="s">
        <v>6247</v>
      </c>
      <c r="C3519" s="1226">
        <v>110</v>
      </c>
      <c r="D3519" s="1226">
        <v>12</v>
      </c>
      <c r="E3519" s="1412">
        <f t="shared" si="451"/>
        <v>0.10909090909090909</v>
      </c>
      <c r="F3519" s="1226">
        <v>190</v>
      </c>
      <c r="G3519" s="1226">
        <v>157</v>
      </c>
      <c r="H3519" s="1414">
        <f t="shared" si="452"/>
        <v>0.82631578947368423</v>
      </c>
      <c r="I3519" s="1375">
        <f t="shared" si="455"/>
        <v>300</v>
      </c>
      <c r="J3519" s="695">
        <f t="shared" si="455"/>
        <v>169</v>
      </c>
      <c r="K3519" s="650">
        <f t="shared" si="453"/>
        <v>0.56333333333333335</v>
      </c>
    </row>
    <row r="3520" spans="1:11" ht="24.95" customHeight="1">
      <c r="A3520" s="1376" t="s">
        <v>4148</v>
      </c>
      <c r="B3520" s="1220" t="s">
        <v>4149</v>
      </c>
      <c r="C3520" s="1226">
        <v>35</v>
      </c>
      <c r="D3520" s="1226">
        <v>15</v>
      </c>
      <c r="E3520" s="1412">
        <f t="shared" si="451"/>
        <v>0.42857142857142855</v>
      </c>
      <c r="F3520" s="1226">
        <v>5</v>
      </c>
      <c r="G3520" s="1226"/>
      <c r="H3520" s="1414">
        <f t="shared" si="452"/>
        <v>0</v>
      </c>
      <c r="I3520" s="1375">
        <f t="shared" si="455"/>
        <v>40</v>
      </c>
      <c r="J3520" s="695">
        <f t="shared" si="455"/>
        <v>15</v>
      </c>
      <c r="K3520" s="650">
        <f t="shared" si="453"/>
        <v>0.375</v>
      </c>
    </row>
    <row r="3521" spans="1:11" ht="24.95" customHeight="1">
      <c r="A3521" s="1376" t="s">
        <v>2908</v>
      </c>
      <c r="B3521" s="1220" t="s">
        <v>2476</v>
      </c>
      <c r="C3521" s="1226">
        <v>200</v>
      </c>
      <c r="D3521" s="1226">
        <f>84+18</f>
        <v>102</v>
      </c>
      <c r="E3521" s="1412">
        <f t="shared" si="451"/>
        <v>0.51</v>
      </c>
      <c r="F3521" s="1226">
        <v>220</v>
      </c>
      <c r="G3521" s="1226">
        <v>157</v>
      </c>
      <c r="H3521" s="1414">
        <f t="shared" si="452"/>
        <v>0.71363636363636362</v>
      </c>
      <c r="I3521" s="1375">
        <f t="shared" si="455"/>
        <v>420</v>
      </c>
      <c r="J3521" s="695">
        <f t="shared" si="455"/>
        <v>259</v>
      </c>
      <c r="K3521" s="650">
        <f t="shared" si="453"/>
        <v>0.6166666666666667</v>
      </c>
    </row>
    <row r="3522" spans="1:11" ht="24.95" customHeight="1">
      <c r="A3522" s="1376" t="s">
        <v>3969</v>
      </c>
      <c r="B3522" s="1220" t="s">
        <v>3970</v>
      </c>
      <c r="C3522" s="1226">
        <v>10</v>
      </c>
      <c r="D3522" s="1226">
        <v>5</v>
      </c>
      <c r="E3522" s="1412">
        <f t="shared" si="451"/>
        <v>0.5</v>
      </c>
      <c r="F3522" s="1226">
        <v>20</v>
      </c>
      <c r="G3522" s="1226">
        <v>3</v>
      </c>
      <c r="H3522" s="1414">
        <f t="shared" si="452"/>
        <v>0.15</v>
      </c>
      <c r="I3522" s="1375">
        <f t="shared" si="455"/>
        <v>30</v>
      </c>
      <c r="J3522" s="695">
        <f t="shared" si="455"/>
        <v>8</v>
      </c>
      <c r="K3522" s="650">
        <f t="shared" si="453"/>
        <v>0.26666666666666666</v>
      </c>
    </row>
    <row r="3523" spans="1:11" ht="24.95" customHeight="1">
      <c r="A3523" s="1376" t="s">
        <v>6248</v>
      </c>
      <c r="B3523" s="1220" t="s">
        <v>6249</v>
      </c>
      <c r="C3523" s="1226"/>
      <c r="D3523" s="1226"/>
      <c r="E3523" s="1412" t="e">
        <f t="shared" si="451"/>
        <v>#DIV/0!</v>
      </c>
      <c r="F3523" s="1226">
        <v>5</v>
      </c>
      <c r="G3523" s="1226"/>
      <c r="H3523" s="1414">
        <f t="shared" si="452"/>
        <v>0</v>
      </c>
      <c r="I3523" s="1375">
        <f t="shared" si="455"/>
        <v>5</v>
      </c>
      <c r="J3523" s="695">
        <f t="shared" si="455"/>
        <v>0</v>
      </c>
      <c r="K3523" s="650">
        <f t="shared" si="453"/>
        <v>0</v>
      </c>
    </row>
    <row r="3524" spans="1:11" ht="24.95" customHeight="1">
      <c r="A3524" s="1376" t="s">
        <v>2921</v>
      </c>
      <c r="B3524" s="1220" t="s">
        <v>6250</v>
      </c>
      <c r="C3524" s="1226"/>
      <c r="D3524" s="1226">
        <v>1</v>
      </c>
      <c r="E3524" s="1412" t="e">
        <f t="shared" si="451"/>
        <v>#DIV/0!</v>
      </c>
      <c r="F3524" s="1226">
        <v>3</v>
      </c>
      <c r="G3524" s="1226"/>
      <c r="H3524" s="1414">
        <f t="shared" si="452"/>
        <v>0</v>
      </c>
      <c r="I3524" s="1375">
        <f t="shared" si="455"/>
        <v>3</v>
      </c>
      <c r="J3524" s="695">
        <f t="shared" si="455"/>
        <v>1</v>
      </c>
      <c r="K3524" s="650">
        <f t="shared" si="453"/>
        <v>0.33333333333333331</v>
      </c>
    </row>
    <row r="3525" spans="1:11" ht="24.95" customHeight="1">
      <c r="A3525" s="1376" t="s">
        <v>6251</v>
      </c>
      <c r="B3525" s="1220" t="s">
        <v>6252</v>
      </c>
      <c r="C3525" s="1226"/>
      <c r="D3525" s="1226"/>
      <c r="E3525" s="1412" t="e">
        <f t="shared" si="451"/>
        <v>#DIV/0!</v>
      </c>
      <c r="F3525" s="1226"/>
      <c r="G3525" s="1226"/>
      <c r="H3525" s="1414" t="e">
        <f t="shared" si="452"/>
        <v>#DIV/0!</v>
      </c>
      <c r="I3525" s="1375">
        <f t="shared" si="455"/>
        <v>0</v>
      </c>
      <c r="J3525" s="695">
        <f t="shared" si="455"/>
        <v>0</v>
      </c>
      <c r="K3525" s="650" t="e">
        <f t="shared" si="453"/>
        <v>#DIV/0!</v>
      </c>
    </row>
    <row r="3526" spans="1:11" ht="24.95" customHeight="1">
      <c r="A3526" s="1376" t="s">
        <v>5269</v>
      </c>
      <c r="B3526" s="1220" t="s">
        <v>5270</v>
      </c>
      <c r="C3526" s="1226">
        <v>55</v>
      </c>
      <c r="D3526" s="1226">
        <v>37</v>
      </c>
      <c r="E3526" s="1412">
        <f t="shared" si="451"/>
        <v>0.67272727272727273</v>
      </c>
      <c r="F3526" s="1226"/>
      <c r="G3526" s="1226"/>
      <c r="H3526" s="1414" t="e">
        <f t="shared" si="452"/>
        <v>#DIV/0!</v>
      </c>
      <c r="I3526" s="1375">
        <f t="shared" si="455"/>
        <v>55</v>
      </c>
      <c r="J3526" s="695">
        <f t="shared" si="455"/>
        <v>37</v>
      </c>
      <c r="K3526" s="650">
        <f t="shared" si="453"/>
        <v>0.67272727272727273</v>
      </c>
    </row>
    <row r="3527" spans="1:11" ht="24.95" customHeight="1">
      <c r="A3527" s="1376" t="s">
        <v>3718</v>
      </c>
      <c r="B3527" s="1220" t="s">
        <v>6253</v>
      </c>
      <c r="C3527" s="1226">
        <v>25</v>
      </c>
      <c r="D3527" s="1226">
        <v>4</v>
      </c>
      <c r="E3527" s="1412">
        <f t="shared" si="451"/>
        <v>0.16</v>
      </c>
      <c r="F3527" s="1226">
        <v>1</v>
      </c>
      <c r="G3527" s="1226"/>
      <c r="H3527" s="1414">
        <f t="shared" si="452"/>
        <v>0</v>
      </c>
      <c r="I3527" s="1375">
        <f t="shared" si="455"/>
        <v>26</v>
      </c>
      <c r="J3527" s="695">
        <f t="shared" si="455"/>
        <v>4</v>
      </c>
      <c r="K3527" s="650">
        <f t="shared" si="453"/>
        <v>0.15384615384615385</v>
      </c>
    </row>
    <row r="3528" spans="1:11" ht="24.95" customHeight="1">
      <c r="A3528" s="1376" t="s">
        <v>2925</v>
      </c>
      <c r="B3528" s="1220" t="s">
        <v>6254</v>
      </c>
      <c r="C3528" s="1226"/>
      <c r="D3528" s="1226"/>
      <c r="E3528" s="1412" t="e">
        <f t="shared" si="451"/>
        <v>#DIV/0!</v>
      </c>
      <c r="F3528" s="1226"/>
      <c r="G3528" s="1226"/>
      <c r="H3528" s="1414" t="e">
        <f t="shared" si="452"/>
        <v>#DIV/0!</v>
      </c>
      <c r="I3528" s="1375">
        <f t="shared" si="455"/>
        <v>0</v>
      </c>
      <c r="J3528" s="695">
        <f t="shared" si="455"/>
        <v>0</v>
      </c>
      <c r="K3528" s="650" t="e">
        <f t="shared" si="453"/>
        <v>#DIV/0!</v>
      </c>
    </row>
    <row r="3529" spans="1:11" ht="24.95" customHeight="1">
      <c r="A3529" s="1376" t="s">
        <v>2927</v>
      </c>
      <c r="B3529" s="1220" t="s">
        <v>2928</v>
      </c>
      <c r="C3529" s="1226">
        <v>10</v>
      </c>
      <c r="D3529" s="1226">
        <v>6</v>
      </c>
      <c r="E3529" s="1412">
        <f t="shared" si="451"/>
        <v>0.6</v>
      </c>
      <c r="F3529" s="1226">
        <v>170</v>
      </c>
      <c r="G3529" s="1226">
        <v>58</v>
      </c>
      <c r="H3529" s="1414">
        <f t="shared" si="452"/>
        <v>0.3411764705882353</v>
      </c>
      <c r="I3529" s="1375">
        <f t="shared" si="455"/>
        <v>180</v>
      </c>
      <c r="J3529" s="695">
        <f t="shared" si="455"/>
        <v>64</v>
      </c>
      <c r="K3529" s="650">
        <f t="shared" si="453"/>
        <v>0.35555555555555557</v>
      </c>
    </row>
    <row r="3530" spans="1:11" ht="24.95" customHeight="1">
      <c r="A3530" s="1376" t="s">
        <v>2929</v>
      </c>
      <c r="B3530" s="1220" t="s">
        <v>2930</v>
      </c>
      <c r="C3530" s="1226">
        <v>30</v>
      </c>
      <c r="D3530" s="1226">
        <v>10</v>
      </c>
      <c r="E3530" s="1412">
        <f t="shared" si="451"/>
        <v>0.33333333333333331</v>
      </c>
      <c r="F3530" s="1226">
        <v>30</v>
      </c>
      <c r="G3530" s="1226">
        <v>1</v>
      </c>
      <c r="H3530" s="1414">
        <f t="shared" si="452"/>
        <v>3.3333333333333333E-2</v>
      </c>
      <c r="I3530" s="1375">
        <f t="shared" si="455"/>
        <v>60</v>
      </c>
      <c r="J3530" s="695">
        <f t="shared" si="455"/>
        <v>11</v>
      </c>
      <c r="K3530" s="650">
        <f t="shared" si="453"/>
        <v>0.18333333333333332</v>
      </c>
    </row>
    <row r="3531" spans="1:11" ht="24.95" customHeight="1">
      <c r="A3531" s="1376" t="s">
        <v>2479</v>
      </c>
      <c r="B3531" s="1220" t="s">
        <v>2480</v>
      </c>
      <c r="C3531" s="1226"/>
      <c r="D3531" s="1226"/>
      <c r="E3531" s="1412" t="e">
        <f t="shared" si="451"/>
        <v>#DIV/0!</v>
      </c>
      <c r="F3531" s="1226">
        <v>160</v>
      </c>
      <c r="G3531" s="1226">
        <v>74</v>
      </c>
      <c r="H3531" s="1414">
        <f t="shared" si="452"/>
        <v>0.46250000000000002</v>
      </c>
      <c r="I3531" s="1375">
        <f t="shared" si="455"/>
        <v>160</v>
      </c>
      <c r="J3531" s="695">
        <f t="shared" si="455"/>
        <v>74</v>
      </c>
      <c r="K3531" s="650">
        <f t="shared" si="453"/>
        <v>0.46250000000000002</v>
      </c>
    </row>
    <row r="3532" spans="1:11" ht="24.95" customHeight="1">
      <c r="A3532" s="1235" t="s">
        <v>2481</v>
      </c>
      <c r="B3532" s="1236" t="s">
        <v>2935</v>
      </c>
      <c r="C3532" s="1226"/>
      <c r="D3532" s="1226"/>
      <c r="E3532" s="1412" t="e">
        <f t="shared" si="451"/>
        <v>#DIV/0!</v>
      </c>
      <c r="F3532" s="1226">
        <v>160</v>
      </c>
      <c r="G3532" s="1226">
        <v>73</v>
      </c>
      <c r="H3532" s="1414">
        <f t="shared" si="452"/>
        <v>0.45624999999999999</v>
      </c>
      <c r="I3532" s="1375">
        <f t="shared" si="455"/>
        <v>160</v>
      </c>
      <c r="J3532" s="695">
        <f t="shared" si="455"/>
        <v>73</v>
      </c>
      <c r="K3532" s="650">
        <f t="shared" si="453"/>
        <v>0.45624999999999999</v>
      </c>
    </row>
    <row r="3533" spans="1:11" ht="24.95" customHeight="1">
      <c r="A3533" s="1376" t="s">
        <v>4065</v>
      </c>
      <c r="B3533" s="1220" t="s">
        <v>4066</v>
      </c>
      <c r="C3533" s="1226">
        <v>1</v>
      </c>
      <c r="D3533" s="1226"/>
      <c r="E3533" s="1412">
        <f t="shared" si="451"/>
        <v>0</v>
      </c>
      <c r="F3533" s="1226">
        <v>5</v>
      </c>
      <c r="G3533" s="1226"/>
      <c r="H3533" s="1414">
        <f t="shared" si="452"/>
        <v>0</v>
      </c>
      <c r="I3533" s="1375">
        <f t="shared" si="455"/>
        <v>6</v>
      </c>
      <c r="J3533" s="695">
        <f t="shared" si="455"/>
        <v>0</v>
      </c>
      <c r="K3533" s="650">
        <f t="shared" si="453"/>
        <v>0</v>
      </c>
    </row>
    <row r="3534" spans="1:11" ht="24.95" customHeight="1">
      <c r="A3534" s="1376" t="s">
        <v>2940</v>
      </c>
      <c r="B3534" s="1233" t="s">
        <v>2941</v>
      </c>
      <c r="C3534" s="1226">
        <v>1</v>
      </c>
      <c r="D3534" s="1226"/>
      <c r="E3534" s="1412">
        <f t="shared" si="451"/>
        <v>0</v>
      </c>
      <c r="F3534" s="1226">
        <v>370</v>
      </c>
      <c r="G3534" s="1226">
        <v>737</v>
      </c>
      <c r="H3534" s="1414">
        <f t="shared" si="452"/>
        <v>1.991891891891892</v>
      </c>
      <c r="I3534" s="1375">
        <f t="shared" si="455"/>
        <v>371</v>
      </c>
      <c r="J3534" s="695">
        <f t="shared" si="455"/>
        <v>737</v>
      </c>
      <c r="K3534" s="650">
        <f t="shared" si="453"/>
        <v>1.986522911051213</v>
      </c>
    </row>
    <row r="3535" spans="1:11" ht="24.95" customHeight="1">
      <c r="A3535" s="1376" t="s">
        <v>3041</v>
      </c>
      <c r="B3535" s="1220" t="s">
        <v>3042</v>
      </c>
      <c r="C3535" s="1226">
        <v>2400</v>
      </c>
      <c r="D3535" s="1226">
        <v>1125</v>
      </c>
      <c r="E3535" s="1412">
        <f t="shared" si="451"/>
        <v>0.46875</v>
      </c>
      <c r="F3535" s="1226">
        <v>520</v>
      </c>
      <c r="G3535" s="1226">
        <f>26+273</f>
        <v>299</v>
      </c>
      <c r="H3535" s="1414">
        <f t="shared" si="452"/>
        <v>0.57499999999999996</v>
      </c>
      <c r="I3535" s="1375">
        <f t="shared" si="455"/>
        <v>2920</v>
      </c>
      <c r="J3535" s="695">
        <f t="shared" si="455"/>
        <v>1424</v>
      </c>
      <c r="K3535" s="650">
        <f t="shared" si="453"/>
        <v>0.48767123287671232</v>
      </c>
    </row>
    <row r="3536" spans="1:11" ht="24.95" customHeight="1">
      <c r="A3536" s="1376" t="s">
        <v>6255</v>
      </c>
      <c r="B3536" s="1220" t="s">
        <v>6256</v>
      </c>
      <c r="C3536" s="1226">
        <v>2</v>
      </c>
      <c r="D3536" s="1226"/>
      <c r="E3536" s="1412">
        <f t="shared" si="451"/>
        <v>0</v>
      </c>
      <c r="F3536" s="1226">
        <v>2</v>
      </c>
      <c r="G3536" s="1226"/>
      <c r="H3536" s="1414">
        <f t="shared" si="452"/>
        <v>0</v>
      </c>
      <c r="I3536" s="1375">
        <f t="shared" si="455"/>
        <v>4</v>
      </c>
      <c r="J3536" s="695">
        <f t="shared" si="455"/>
        <v>0</v>
      </c>
      <c r="K3536" s="650">
        <f t="shared" si="453"/>
        <v>0</v>
      </c>
    </row>
    <row r="3537" spans="1:11" ht="24.95" customHeight="1">
      <c r="A3537" s="1376" t="s">
        <v>2942</v>
      </c>
      <c r="B3537" s="1220" t="s">
        <v>2943</v>
      </c>
      <c r="C3537" s="1226"/>
      <c r="D3537" s="1226"/>
      <c r="E3537" s="1412" t="e">
        <f t="shared" si="451"/>
        <v>#DIV/0!</v>
      </c>
      <c r="F3537" s="1226"/>
      <c r="G3537" s="1226"/>
      <c r="H3537" s="1414" t="e">
        <f t="shared" si="452"/>
        <v>#DIV/0!</v>
      </c>
      <c r="I3537" s="1375">
        <f t="shared" si="455"/>
        <v>0</v>
      </c>
      <c r="J3537" s="695">
        <f t="shared" si="455"/>
        <v>0</v>
      </c>
      <c r="K3537" s="650" t="e">
        <f t="shared" si="453"/>
        <v>#DIV/0!</v>
      </c>
    </row>
    <row r="3538" spans="1:11" ht="24.95" customHeight="1">
      <c r="A3538" s="1376" t="s">
        <v>2484</v>
      </c>
      <c r="B3538" s="1220" t="s">
        <v>6257</v>
      </c>
      <c r="C3538" s="1226"/>
      <c r="D3538" s="1226">
        <v>1</v>
      </c>
      <c r="E3538" s="1412" t="e">
        <f t="shared" si="451"/>
        <v>#DIV/0!</v>
      </c>
      <c r="F3538" s="1226">
        <v>10</v>
      </c>
      <c r="G3538" s="1226"/>
      <c r="H3538" s="1414">
        <f t="shared" si="452"/>
        <v>0</v>
      </c>
      <c r="I3538" s="1375">
        <f t="shared" si="455"/>
        <v>10</v>
      </c>
      <c r="J3538" s="695">
        <f t="shared" si="455"/>
        <v>1</v>
      </c>
      <c r="K3538" s="650">
        <f t="shared" si="453"/>
        <v>0.1</v>
      </c>
    </row>
    <row r="3539" spans="1:11" ht="24.95" customHeight="1">
      <c r="A3539" s="1376" t="s">
        <v>2548</v>
      </c>
      <c r="B3539" s="1220" t="s">
        <v>2549</v>
      </c>
      <c r="C3539" s="1226">
        <v>40</v>
      </c>
      <c r="D3539" s="1226">
        <v>26</v>
      </c>
      <c r="E3539" s="1412">
        <f t="shared" si="451"/>
        <v>0.65</v>
      </c>
      <c r="F3539" s="1226">
        <v>15</v>
      </c>
      <c r="G3539" s="1226">
        <v>1</v>
      </c>
      <c r="H3539" s="1414">
        <f t="shared" si="452"/>
        <v>6.6666666666666666E-2</v>
      </c>
      <c r="I3539" s="1375">
        <f t="shared" ref="I3539:J3569" si="456">+C3539+F3539</f>
        <v>55</v>
      </c>
      <c r="J3539" s="695">
        <f t="shared" si="456"/>
        <v>27</v>
      </c>
      <c r="K3539" s="650">
        <f t="shared" si="453"/>
        <v>0.49090909090909091</v>
      </c>
    </row>
    <row r="3540" spans="1:11" ht="24.95" customHeight="1">
      <c r="A3540" s="1376" t="s">
        <v>2550</v>
      </c>
      <c r="B3540" s="1220" t="s">
        <v>2551</v>
      </c>
      <c r="C3540" s="1226">
        <v>240</v>
      </c>
      <c r="D3540" s="1226">
        <v>143</v>
      </c>
      <c r="E3540" s="1412">
        <f t="shared" si="451"/>
        <v>0.59583333333333333</v>
      </c>
      <c r="F3540" s="1226">
        <v>50</v>
      </c>
      <c r="G3540" s="1226">
        <v>17</v>
      </c>
      <c r="H3540" s="1414">
        <f t="shared" si="452"/>
        <v>0.34</v>
      </c>
      <c r="I3540" s="1375">
        <f t="shared" si="456"/>
        <v>290</v>
      </c>
      <c r="J3540" s="695">
        <f t="shared" si="456"/>
        <v>160</v>
      </c>
      <c r="K3540" s="650">
        <f t="shared" si="453"/>
        <v>0.55172413793103448</v>
      </c>
    </row>
    <row r="3541" spans="1:11" ht="24.95" customHeight="1">
      <c r="A3541" s="1376" t="s">
        <v>2552</v>
      </c>
      <c r="B3541" s="1220" t="s">
        <v>2553</v>
      </c>
      <c r="C3541" s="1226">
        <v>20</v>
      </c>
      <c r="D3541" s="1226">
        <v>5</v>
      </c>
      <c r="E3541" s="1412">
        <f t="shared" si="451"/>
        <v>0.25</v>
      </c>
      <c r="F3541" s="1226">
        <v>35</v>
      </c>
      <c r="G3541" s="1226">
        <v>21</v>
      </c>
      <c r="H3541" s="1414">
        <f t="shared" si="452"/>
        <v>0.6</v>
      </c>
      <c r="I3541" s="1375">
        <f t="shared" si="456"/>
        <v>55</v>
      </c>
      <c r="J3541" s="695">
        <f t="shared" si="456"/>
        <v>26</v>
      </c>
      <c r="K3541" s="650">
        <f t="shared" si="453"/>
        <v>0.47272727272727272</v>
      </c>
    </row>
    <row r="3542" spans="1:11" ht="24.95" customHeight="1">
      <c r="A3542" s="1376" t="s">
        <v>2554</v>
      </c>
      <c r="B3542" s="1220" t="s">
        <v>2555</v>
      </c>
      <c r="C3542" s="1226">
        <v>30</v>
      </c>
      <c r="D3542" s="1226">
        <v>15</v>
      </c>
      <c r="E3542" s="1412">
        <f t="shared" si="451"/>
        <v>0.5</v>
      </c>
      <c r="F3542" s="1226">
        <v>95</v>
      </c>
      <c r="G3542" s="1226">
        <v>48</v>
      </c>
      <c r="H3542" s="1414">
        <f t="shared" si="452"/>
        <v>0.50526315789473686</v>
      </c>
      <c r="I3542" s="1375">
        <f t="shared" si="456"/>
        <v>125</v>
      </c>
      <c r="J3542" s="695">
        <f t="shared" si="456"/>
        <v>63</v>
      </c>
      <c r="K3542" s="650">
        <f t="shared" si="453"/>
        <v>0.504</v>
      </c>
    </row>
    <row r="3543" spans="1:11" ht="24.95" customHeight="1">
      <c r="A3543" s="1376" t="s">
        <v>2556</v>
      </c>
      <c r="B3543" s="1220" t="s">
        <v>2557</v>
      </c>
      <c r="C3543" s="1226">
        <v>5</v>
      </c>
      <c r="D3543" s="1226"/>
      <c r="E3543" s="1412">
        <f t="shared" si="451"/>
        <v>0</v>
      </c>
      <c r="F3543" s="1226">
        <v>30</v>
      </c>
      <c r="G3543" s="1226">
        <v>5</v>
      </c>
      <c r="H3543" s="1414">
        <f t="shared" si="452"/>
        <v>0.16666666666666666</v>
      </c>
      <c r="I3543" s="1375">
        <f t="shared" si="456"/>
        <v>35</v>
      </c>
      <c r="J3543" s="695">
        <f t="shared" si="456"/>
        <v>5</v>
      </c>
      <c r="K3543" s="650">
        <f t="shared" si="453"/>
        <v>0.14285714285714285</v>
      </c>
    </row>
    <row r="3544" spans="1:11" ht="24.95" customHeight="1">
      <c r="A3544" s="1376" t="s">
        <v>2558</v>
      </c>
      <c r="B3544" s="1220" t="s">
        <v>4418</v>
      </c>
      <c r="C3544" s="1226">
        <v>10</v>
      </c>
      <c r="D3544" s="1226">
        <v>2</v>
      </c>
      <c r="E3544" s="1412">
        <f t="shared" si="451"/>
        <v>0.2</v>
      </c>
      <c r="F3544" s="1226">
        <v>90</v>
      </c>
      <c r="G3544" s="1226">
        <v>30</v>
      </c>
      <c r="H3544" s="1414">
        <f t="shared" si="452"/>
        <v>0.33333333333333331</v>
      </c>
      <c r="I3544" s="1375">
        <f t="shared" si="456"/>
        <v>100</v>
      </c>
      <c r="J3544" s="695">
        <f t="shared" si="456"/>
        <v>32</v>
      </c>
      <c r="K3544" s="650">
        <f t="shared" si="453"/>
        <v>0.32</v>
      </c>
    </row>
    <row r="3545" spans="1:11" ht="24.95" customHeight="1">
      <c r="A3545" s="1376" t="s">
        <v>2559</v>
      </c>
      <c r="B3545" s="1220" t="s">
        <v>6258</v>
      </c>
      <c r="C3545" s="1226">
        <v>1</v>
      </c>
      <c r="D3545" s="1226"/>
      <c r="E3545" s="1412">
        <f t="shared" si="451"/>
        <v>0</v>
      </c>
      <c r="F3545" s="1226">
        <v>5</v>
      </c>
      <c r="G3545" s="1226">
        <v>2</v>
      </c>
      <c r="H3545" s="1414">
        <f t="shared" si="452"/>
        <v>0.4</v>
      </c>
      <c r="I3545" s="1375">
        <f t="shared" si="456"/>
        <v>6</v>
      </c>
      <c r="J3545" s="695">
        <f t="shared" si="456"/>
        <v>2</v>
      </c>
      <c r="K3545" s="650">
        <f t="shared" si="453"/>
        <v>0.33333333333333331</v>
      </c>
    </row>
    <row r="3546" spans="1:11" ht="24.95" customHeight="1">
      <c r="A3546" s="1376" t="s">
        <v>2561</v>
      </c>
      <c r="B3546" s="1220" t="s">
        <v>6259</v>
      </c>
      <c r="C3546" s="1226">
        <v>5</v>
      </c>
      <c r="D3546" s="1226">
        <v>1</v>
      </c>
      <c r="E3546" s="1412">
        <f t="shared" si="451"/>
        <v>0.2</v>
      </c>
      <c r="F3546" s="1226">
        <v>5</v>
      </c>
      <c r="G3546" s="1226">
        <v>6</v>
      </c>
      <c r="H3546" s="1414">
        <f t="shared" si="452"/>
        <v>1.2</v>
      </c>
      <c r="I3546" s="1375">
        <f t="shared" si="456"/>
        <v>10</v>
      </c>
      <c r="J3546" s="695">
        <f t="shared" si="456"/>
        <v>7</v>
      </c>
      <c r="K3546" s="650">
        <f t="shared" si="453"/>
        <v>0.7</v>
      </c>
    </row>
    <row r="3547" spans="1:11" ht="24.95" customHeight="1">
      <c r="A3547" s="1376" t="s">
        <v>5141</v>
      </c>
      <c r="B3547" s="1220" t="s">
        <v>5142</v>
      </c>
      <c r="C3547" s="1226"/>
      <c r="D3547" s="1226"/>
      <c r="E3547" s="1412" t="e">
        <f t="shared" si="451"/>
        <v>#DIV/0!</v>
      </c>
      <c r="F3547" s="1226"/>
      <c r="G3547" s="1226"/>
      <c r="H3547" s="1414" t="e">
        <f t="shared" si="452"/>
        <v>#DIV/0!</v>
      </c>
      <c r="I3547" s="1375">
        <f t="shared" si="456"/>
        <v>0</v>
      </c>
      <c r="J3547" s="695">
        <f t="shared" si="456"/>
        <v>0</v>
      </c>
      <c r="K3547" s="650" t="e">
        <f t="shared" si="453"/>
        <v>#DIV/0!</v>
      </c>
    </row>
    <row r="3548" spans="1:11" ht="24.95" customHeight="1">
      <c r="A3548" s="1376" t="s">
        <v>3090</v>
      </c>
      <c r="B3548" s="1220" t="s">
        <v>3091</v>
      </c>
      <c r="C3548" s="1226"/>
      <c r="D3548" s="1226"/>
      <c r="E3548" s="1412" t="e">
        <f t="shared" si="451"/>
        <v>#DIV/0!</v>
      </c>
      <c r="F3548" s="1226">
        <v>2</v>
      </c>
      <c r="G3548" s="1226"/>
      <c r="H3548" s="1414">
        <f t="shared" si="452"/>
        <v>0</v>
      </c>
      <c r="I3548" s="1375">
        <f t="shared" si="456"/>
        <v>2</v>
      </c>
      <c r="J3548" s="695">
        <f t="shared" si="456"/>
        <v>0</v>
      </c>
      <c r="K3548" s="650">
        <f t="shared" si="453"/>
        <v>0</v>
      </c>
    </row>
    <row r="3549" spans="1:11" ht="24.95" customHeight="1">
      <c r="A3549" s="1376" t="s">
        <v>6260</v>
      </c>
      <c r="B3549" s="1220" t="s">
        <v>6261</v>
      </c>
      <c r="C3549" s="1226"/>
      <c r="D3549" s="1226"/>
      <c r="E3549" s="1412" t="e">
        <f t="shared" si="451"/>
        <v>#DIV/0!</v>
      </c>
      <c r="F3549" s="1226">
        <v>2</v>
      </c>
      <c r="G3549" s="1226"/>
      <c r="H3549" s="1414">
        <f t="shared" si="452"/>
        <v>0</v>
      </c>
      <c r="I3549" s="1375">
        <f t="shared" si="456"/>
        <v>2</v>
      </c>
      <c r="J3549" s="695">
        <f t="shared" si="456"/>
        <v>0</v>
      </c>
      <c r="K3549" s="650">
        <f t="shared" si="453"/>
        <v>0</v>
      </c>
    </row>
    <row r="3550" spans="1:11" ht="24.95" customHeight="1">
      <c r="A3550" s="1376" t="s">
        <v>2949</v>
      </c>
      <c r="B3550" s="1220" t="s">
        <v>6262</v>
      </c>
      <c r="C3550" s="1226">
        <v>20</v>
      </c>
      <c r="D3550" s="1226">
        <v>20</v>
      </c>
      <c r="E3550" s="1412">
        <f t="shared" si="451"/>
        <v>1</v>
      </c>
      <c r="F3550" s="1226">
        <v>840</v>
      </c>
      <c r="G3550" s="1226">
        <v>157</v>
      </c>
      <c r="H3550" s="1414">
        <f t="shared" si="452"/>
        <v>0.18690476190476191</v>
      </c>
      <c r="I3550" s="1375">
        <f t="shared" si="456"/>
        <v>860</v>
      </c>
      <c r="J3550" s="695">
        <f t="shared" si="456"/>
        <v>177</v>
      </c>
      <c r="K3550" s="650">
        <f t="shared" si="453"/>
        <v>0.20581395348837209</v>
      </c>
    </row>
    <row r="3551" spans="1:11" ht="24.95" customHeight="1">
      <c r="A3551" s="1376" t="s">
        <v>3730</v>
      </c>
      <c r="B3551" s="1220" t="s">
        <v>6263</v>
      </c>
      <c r="C3551" s="1226"/>
      <c r="D3551" s="1226"/>
      <c r="E3551" s="1412" t="e">
        <f t="shared" si="451"/>
        <v>#DIV/0!</v>
      </c>
      <c r="F3551" s="1226">
        <v>5</v>
      </c>
      <c r="G3551" s="1226"/>
      <c r="H3551" s="1414">
        <f t="shared" si="452"/>
        <v>0</v>
      </c>
      <c r="I3551" s="1375">
        <f t="shared" si="456"/>
        <v>5</v>
      </c>
      <c r="J3551" s="695">
        <f t="shared" si="456"/>
        <v>0</v>
      </c>
      <c r="K3551" s="650">
        <f t="shared" si="453"/>
        <v>0</v>
      </c>
    </row>
    <row r="3552" spans="1:11" ht="24.95" customHeight="1">
      <c r="A3552" s="1376" t="s">
        <v>2955</v>
      </c>
      <c r="B3552" s="1220" t="s">
        <v>6264</v>
      </c>
      <c r="C3552" s="1226">
        <v>5</v>
      </c>
      <c r="D3552" s="1226"/>
      <c r="E3552" s="1412">
        <f t="shared" ref="E3552:E3611" si="457">+D3552/C3552</f>
        <v>0</v>
      </c>
      <c r="F3552" s="1226">
        <v>10</v>
      </c>
      <c r="G3552" s="1226"/>
      <c r="H3552" s="1414">
        <f t="shared" ref="H3552:H3611" si="458">+G3552/F3552</f>
        <v>0</v>
      </c>
      <c r="I3552" s="1375">
        <f t="shared" si="456"/>
        <v>15</v>
      </c>
      <c r="J3552" s="695">
        <f t="shared" si="456"/>
        <v>0</v>
      </c>
      <c r="K3552" s="650">
        <f t="shared" ref="K3552:K3611" si="459">+J3552/I3552</f>
        <v>0</v>
      </c>
    </row>
    <row r="3553" spans="1:11" ht="24.95" customHeight="1">
      <c r="A3553" s="1376" t="s">
        <v>3742</v>
      </c>
      <c r="B3553" s="1220" t="s">
        <v>2610</v>
      </c>
      <c r="C3553" s="1226"/>
      <c r="D3553" s="1226"/>
      <c r="E3553" s="1412" t="e">
        <f t="shared" si="457"/>
        <v>#DIV/0!</v>
      </c>
      <c r="F3553" s="1226">
        <v>100</v>
      </c>
      <c r="G3553" s="1226"/>
      <c r="H3553" s="1414">
        <f t="shared" si="458"/>
        <v>0</v>
      </c>
      <c r="I3553" s="1375">
        <f t="shared" si="456"/>
        <v>100</v>
      </c>
      <c r="J3553" s="695">
        <f t="shared" si="456"/>
        <v>0</v>
      </c>
      <c r="K3553" s="650">
        <f t="shared" si="459"/>
        <v>0</v>
      </c>
    </row>
    <row r="3554" spans="1:11" ht="24.95" customHeight="1">
      <c r="A3554" s="1376" t="s">
        <v>2613</v>
      </c>
      <c r="B3554" s="1220" t="s">
        <v>3147</v>
      </c>
      <c r="C3554" s="1226"/>
      <c r="D3554" s="1226"/>
      <c r="E3554" s="1412" t="e">
        <f t="shared" si="457"/>
        <v>#DIV/0!</v>
      </c>
      <c r="F3554" s="1226">
        <v>15</v>
      </c>
      <c r="G3554" s="1226"/>
      <c r="H3554" s="1414">
        <f t="shared" si="458"/>
        <v>0</v>
      </c>
      <c r="I3554" s="1375">
        <f t="shared" si="456"/>
        <v>15</v>
      </c>
      <c r="J3554" s="695">
        <f t="shared" si="456"/>
        <v>0</v>
      </c>
      <c r="K3554" s="650">
        <f t="shared" si="459"/>
        <v>0</v>
      </c>
    </row>
    <row r="3555" spans="1:11" ht="24.95" customHeight="1">
      <c r="A3555" s="1376" t="s">
        <v>4107</v>
      </c>
      <c r="B3555" s="1236" t="s">
        <v>4108</v>
      </c>
      <c r="C3555" s="1226"/>
      <c r="D3555" s="1226"/>
      <c r="E3555" s="1412" t="e">
        <f t="shared" si="457"/>
        <v>#DIV/0!</v>
      </c>
      <c r="F3555" s="1226"/>
      <c r="G3555" s="1226"/>
      <c r="H3555" s="1414" t="e">
        <f t="shared" si="458"/>
        <v>#DIV/0!</v>
      </c>
      <c r="I3555" s="1375">
        <f t="shared" si="456"/>
        <v>0</v>
      </c>
      <c r="J3555" s="695">
        <f t="shared" si="456"/>
        <v>0</v>
      </c>
      <c r="K3555" s="650" t="e">
        <f t="shared" si="459"/>
        <v>#DIV/0!</v>
      </c>
    </row>
    <row r="3556" spans="1:11" ht="24.95" customHeight="1">
      <c r="A3556" s="1376" t="s">
        <v>2617</v>
      </c>
      <c r="B3556" s="1236" t="s">
        <v>2618</v>
      </c>
      <c r="C3556" s="1226"/>
      <c r="D3556" s="1226"/>
      <c r="E3556" s="1412" t="e">
        <f t="shared" si="457"/>
        <v>#DIV/0!</v>
      </c>
      <c r="F3556" s="1226">
        <v>5</v>
      </c>
      <c r="G3556" s="1226">
        <v>2</v>
      </c>
      <c r="H3556" s="1414">
        <f t="shared" si="458"/>
        <v>0.4</v>
      </c>
      <c r="I3556" s="1375">
        <f t="shared" si="456"/>
        <v>5</v>
      </c>
      <c r="J3556" s="695">
        <f t="shared" si="456"/>
        <v>2</v>
      </c>
      <c r="K3556" s="650">
        <f t="shared" si="459"/>
        <v>0.4</v>
      </c>
    </row>
    <row r="3557" spans="1:11" ht="24.95" customHeight="1">
      <c r="A3557" s="1376" t="s">
        <v>2959</v>
      </c>
      <c r="B3557" s="1236" t="s">
        <v>6265</v>
      </c>
      <c r="C3557" s="1226"/>
      <c r="D3557" s="1226"/>
      <c r="E3557" s="1412" t="e">
        <f t="shared" si="457"/>
        <v>#DIV/0!</v>
      </c>
      <c r="F3557" s="1226">
        <v>10</v>
      </c>
      <c r="G3557" s="1226"/>
      <c r="H3557" s="1414">
        <f t="shared" si="458"/>
        <v>0</v>
      </c>
      <c r="I3557" s="1375">
        <f t="shared" si="456"/>
        <v>10</v>
      </c>
      <c r="J3557" s="695">
        <f t="shared" si="456"/>
        <v>0</v>
      </c>
      <c r="K3557" s="650">
        <f t="shared" si="459"/>
        <v>0</v>
      </c>
    </row>
    <row r="3558" spans="1:11" ht="24.95" customHeight="1">
      <c r="A3558" s="1376" t="s">
        <v>3201</v>
      </c>
      <c r="B3558" s="1236" t="s">
        <v>6266</v>
      </c>
      <c r="C3558" s="1226"/>
      <c r="D3558" s="1226"/>
      <c r="E3558" s="1412" t="e">
        <f t="shared" si="457"/>
        <v>#DIV/0!</v>
      </c>
      <c r="F3558" s="1226">
        <v>10</v>
      </c>
      <c r="G3558" s="1226"/>
      <c r="H3558" s="1414">
        <f t="shared" si="458"/>
        <v>0</v>
      </c>
      <c r="I3558" s="1375">
        <f t="shared" si="456"/>
        <v>10</v>
      </c>
      <c r="J3558" s="695">
        <f t="shared" si="456"/>
        <v>0</v>
      </c>
      <c r="K3558" s="650">
        <f t="shared" si="459"/>
        <v>0</v>
      </c>
    </row>
    <row r="3559" spans="1:11" ht="24.95" customHeight="1">
      <c r="A3559" s="1376" t="s">
        <v>2327</v>
      </c>
      <c r="B3559" s="1236" t="s">
        <v>2328</v>
      </c>
      <c r="C3559" s="1226">
        <v>1</v>
      </c>
      <c r="D3559" s="1226"/>
      <c r="E3559" s="1412">
        <f t="shared" si="457"/>
        <v>0</v>
      </c>
      <c r="F3559" s="1226">
        <v>15</v>
      </c>
      <c r="G3559" s="1226"/>
      <c r="H3559" s="1414">
        <f t="shared" si="458"/>
        <v>0</v>
      </c>
      <c r="I3559" s="1375">
        <f t="shared" si="456"/>
        <v>16</v>
      </c>
      <c r="J3559" s="695">
        <f t="shared" si="456"/>
        <v>0</v>
      </c>
      <c r="K3559" s="650">
        <f t="shared" si="459"/>
        <v>0</v>
      </c>
    </row>
    <row r="3560" spans="1:11" ht="24.95" customHeight="1">
      <c r="A3560" s="1376" t="s">
        <v>2176</v>
      </c>
      <c r="B3560" s="1236" t="s">
        <v>2177</v>
      </c>
      <c r="C3560" s="1226">
        <v>1</v>
      </c>
      <c r="D3560" s="1226"/>
      <c r="E3560" s="1412">
        <f t="shared" si="457"/>
        <v>0</v>
      </c>
      <c r="F3560" s="1226">
        <v>10</v>
      </c>
      <c r="G3560" s="1226"/>
      <c r="H3560" s="1414">
        <f t="shared" si="458"/>
        <v>0</v>
      </c>
      <c r="I3560" s="1375">
        <f t="shared" si="456"/>
        <v>11</v>
      </c>
      <c r="J3560" s="695">
        <f t="shared" si="456"/>
        <v>0</v>
      </c>
      <c r="K3560" s="650">
        <f t="shared" si="459"/>
        <v>0</v>
      </c>
    </row>
    <row r="3561" spans="1:11" ht="24.95" customHeight="1">
      <c r="A3561" s="1376" t="s">
        <v>3203</v>
      </c>
      <c r="B3561" s="1236" t="s">
        <v>3204</v>
      </c>
      <c r="C3561" s="1226"/>
      <c r="D3561" s="1226"/>
      <c r="E3561" s="1412" t="e">
        <f t="shared" si="457"/>
        <v>#DIV/0!</v>
      </c>
      <c r="F3561" s="1226">
        <v>10</v>
      </c>
      <c r="G3561" s="1226"/>
      <c r="H3561" s="1414">
        <f t="shared" si="458"/>
        <v>0</v>
      </c>
      <c r="I3561" s="1375">
        <f t="shared" si="456"/>
        <v>10</v>
      </c>
      <c r="J3561" s="695">
        <f t="shared" si="456"/>
        <v>0</v>
      </c>
      <c r="K3561" s="650">
        <f t="shared" si="459"/>
        <v>0</v>
      </c>
    </row>
    <row r="3562" spans="1:11" ht="24.95" customHeight="1">
      <c r="A3562" s="1235" t="s">
        <v>3753</v>
      </c>
      <c r="B3562" s="1236" t="s">
        <v>6267</v>
      </c>
      <c r="C3562" s="1226"/>
      <c r="D3562" s="1226"/>
      <c r="E3562" s="1412" t="e">
        <f t="shared" si="457"/>
        <v>#DIV/0!</v>
      </c>
      <c r="F3562" s="1226">
        <v>10</v>
      </c>
      <c r="G3562" s="1226"/>
      <c r="H3562" s="1414">
        <f t="shared" si="458"/>
        <v>0</v>
      </c>
      <c r="I3562" s="1375">
        <f t="shared" si="456"/>
        <v>10</v>
      </c>
      <c r="J3562" s="695">
        <f t="shared" si="456"/>
        <v>0</v>
      </c>
      <c r="K3562" s="650">
        <f t="shared" si="459"/>
        <v>0</v>
      </c>
    </row>
    <row r="3563" spans="1:11" ht="24.95" customHeight="1">
      <c r="A3563" s="1235" t="s">
        <v>3046</v>
      </c>
      <c r="B3563" s="1236" t="s">
        <v>3047</v>
      </c>
      <c r="C3563" s="1226"/>
      <c r="D3563" s="1226"/>
      <c r="E3563" s="1412" t="e">
        <f t="shared" si="457"/>
        <v>#DIV/0!</v>
      </c>
      <c r="F3563" s="1226">
        <v>10</v>
      </c>
      <c r="G3563" s="1226">
        <v>2</v>
      </c>
      <c r="H3563" s="1414">
        <f t="shared" si="458"/>
        <v>0.2</v>
      </c>
      <c r="I3563" s="1375">
        <f t="shared" si="456"/>
        <v>10</v>
      </c>
      <c r="J3563" s="695">
        <f t="shared" si="456"/>
        <v>2</v>
      </c>
      <c r="K3563" s="650">
        <f t="shared" si="459"/>
        <v>0.2</v>
      </c>
    </row>
    <row r="3564" spans="1:11" ht="24.95" customHeight="1">
      <c r="A3564" s="1235" t="s">
        <v>3205</v>
      </c>
      <c r="B3564" s="1236" t="s">
        <v>3206</v>
      </c>
      <c r="C3564" s="1226"/>
      <c r="D3564" s="1226"/>
      <c r="E3564" s="1412" t="e">
        <f t="shared" si="457"/>
        <v>#DIV/0!</v>
      </c>
      <c r="F3564" s="1226">
        <v>10</v>
      </c>
      <c r="G3564" s="1226"/>
      <c r="H3564" s="1414">
        <f t="shared" si="458"/>
        <v>0</v>
      </c>
      <c r="I3564" s="1375">
        <f t="shared" si="456"/>
        <v>10</v>
      </c>
      <c r="J3564" s="695">
        <f t="shared" si="456"/>
        <v>0</v>
      </c>
      <c r="K3564" s="650">
        <f t="shared" si="459"/>
        <v>0</v>
      </c>
    </row>
    <row r="3565" spans="1:11" ht="24.95" customHeight="1">
      <c r="A3565" s="1376" t="s">
        <v>2620</v>
      </c>
      <c r="B3565" s="1220" t="s">
        <v>2621</v>
      </c>
      <c r="C3565" s="1226">
        <v>185</v>
      </c>
      <c r="D3565" s="1226">
        <v>88</v>
      </c>
      <c r="E3565" s="1412">
        <f t="shared" si="457"/>
        <v>0.4756756756756757</v>
      </c>
      <c r="F3565" s="1226">
        <v>2370</v>
      </c>
      <c r="G3565" s="1226">
        <f>1123+1</f>
        <v>1124</v>
      </c>
      <c r="H3565" s="1414">
        <f t="shared" si="458"/>
        <v>0.47426160337552742</v>
      </c>
      <c r="I3565" s="1375">
        <f t="shared" si="456"/>
        <v>2555</v>
      </c>
      <c r="J3565" s="695">
        <f t="shared" si="456"/>
        <v>1212</v>
      </c>
      <c r="K3565" s="650">
        <f t="shared" si="459"/>
        <v>0.47436399217221137</v>
      </c>
    </row>
    <row r="3566" spans="1:11" ht="24.95" customHeight="1">
      <c r="A3566" s="1376" t="s">
        <v>2329</v>
      </c>
      <c r="B3566" s="1220" t="s">
        <v>2961</v>
      </c>
      <c r="C3566" s="1226"/>
      <c r="D3566" s="1226"/>
      <c r="E3566" s="1412" t="e">
        <f t="shared" si="457"/>
        <v>#DIV/0!</v>
      </c>
      <c r="F3566" s="1226">
        <v>10</v>
      </c>
      <c r="G3566" s="1226"/>
      <c r="H3566" s="1414">
        <f t="shared" si="458"/>
        <v>0</v>
      </c>
      <c r="I3566" s="1375">
        <f t="shared" si="456"/>
        <v>10</v>
      </c>
      <c r="J3566" s="695">
        <f t="shared" si="456"/>
        <v>0</v>
      </c>
      <c r="K3566" s="650">
        <f t="shared" si="459"/>
        <v>0</v>
      </c>
    </row>
    <row r="3567" spans="1:11" ht="24.95" customHeight="1">
      <c r="A3567" s="1376" t="s">
        <v>2622</v>
      </c>
      <c r="B3567" s="1233" t="s">
        <v>2962</v>
      </c>
      <c r="C3567" s="1226"/>
      <c r="D3567" s="1226"/>
      <c r="E3567" s="1412" t="e">
        <f t="shared" si="457"/>
        <v>#DIV/0!</v>
      </c>
      <c r="F3567" s="1226">
        <v>10</v>
      </c>
      <c r="G3567" s="1226">
        <v>5</v>
      </c>
      <c r="H3567" s="1414">
        <f t="shared" si="458"/>
        <v>0.5</v>
      </c>
      <c r="I3567" s="1375">
        <f t="shared" si="456"/>
        <v>10</v>
      </c>
      <c r="J3567" s="695">
        <f t="shared" si="456"/>
        <v>5</v>
      </c>
      <c r="K3567" s="650">
        <f t="shared" si="459"/>
        <v>0.5</v>
      </c>
    </row>
    <row r="3568" spans="1:11" ht="24.95" customHeight="1">
      <c r="A3568" s="1235" t="s">
        <v>2624</v>
      </c>
      <c r="B3568" s="1236" t="s">
        <v>2330</v>
      </c>
      <c r="C3568" s="1226">
        <v>20</v>
      </c>
      <c r="D3568" s="1226">
        <v>10</v>
      </c>
      <c r="E3568" s="1412">
        <f t="shared" si="457"/>
        <v>0.5</v>
      </c>
      <c r="F3568" s="1226">
        <v>18900</v>
      </c>
      <c r="G3568" s="1226">
        <f>8593+618</f>
        <v>9211</v>
      </c>
      <c r="H3568" s="1414">
        <f t="shared" si="458"/>
        <v>0.48735449735449737</v>
      </c>
      <c r="I3568" s="1375">
        <f t="shared" si="456"/>
        <v>18920</v>
      </c>
      <c r="J3568" s="695">
        <f t="shared" si="456"/>
        <v>9221</v>
      </c>
      <c r="K3568" s="650">
        <f t="shared" si="459"/>
        <v>0.48736786469344606</v>
      </c>
    </row>
    <row r="3569" spans="1:11" ht="24.95" customHeight="1">
      <c r="A3569" s="1235" t="s">
        <v>2331</v>
      </c>
      <c r="B3569" s="1236" t="s">
        <v>2332</v>
      </c>
      <c r="C3569" s="1226">
        <v>2</v>
      </c>
      <c r="D3569" s="1226"/>
      <c r="E3569" s="1412">
        <f t="shared" si="457"/>
        <v>0</v>
      </c>
      <c r="F3569" s="1226">
        <v>10</v>
      </c>
      <c r="G3569" s="1226"/>
      <c r="H3569" s="1414">
        <f t="shared" si="458"/>
        <v>0</v>
      </c>
      <c r="I3569" s="1375">
        <f t="shared" si="456"/>
        <v>12</v>
      </c>
      <c r="J3569" s="695">
        <f t="shared" si="456"/>
        <v>0</v>
      </c>
      <c r="K3569" s="650">
        <f t="shared" si="459"/>
        <v>0</v>
      </c>
    </row>
    <row r="3570" spans="1:11" ht="24.95" customHeight="1">
      <c r="A3570" s="1235" t="s">
        <v>2625</v>
      </c>
      <c r="B3570" s="1236" t="s">
        <v>2626</v>
      </c>
      <c r="C3570" s="1226"/>
      <c r="D3570" s="1226">
        <v>1</v>
      </c>
      <c r="E3570" s="1412" t="e">
        <f t="shared" si="457"/>
        <v>#DIV/0!</v>
      </c>
      <c r="F3570" s="1226">
        <v>5</v>
      </c>
      <c r="G3570" s="1226">
        <v>1</v>
      </c>
      <c r="H3570" s="1414">
        <f t="shared" si="458"/>
        <v>0.2</v>
      </c>
      <c r="I3570" s="1375"/>
      <c r="J3570" s="695">
        <f t="shared" ref="J3570:J3610" si="460">+D3570+G3570</f>
        <v>2</v>
      </c>
      <c r="K3570" s="650" t="e">
        <f t="shared" si="459"/>
        <v>#DIV/0!</v>
      </c>
    </row>
    <row r="3571" spans="1:11" ht="24.95" customHeight="1">
      <c r="A3571" s="1235" t="s">
        <v>2627</v>
      </c>
      <c r="B3571" s="1236" t="s">
        <v>2628</v>
      </c>
      <c r="C3571" s="1226"/>
      <c r="D3571" s="1226"/>
      <c r="E3571" s="1412" t="e">
        <f t="shared" si="457"/>
        <v>#DIV/0!</v>
      </c>
      <c r="F3571" s="1226">
        <v>380</v>
      </c>
      <c r="G3571" s="1226">
        <v>103</v>
      </c>
      <c r="H3571" s="1414">
        <f t="shared" si="458"/>
        <v>0.27105263157894738</v>
      </c>
      <c r="I3571" s="1375">
        <f t="shared" ref="I3571:I3595" si="461">+C3571+F3571</f>
        <v>380</v>
      </c>
      <c r="J3571" s="695">
        <f t="shared" si="460"/>
        <v>103</v>
      </c>
      <c r="K3571" s="650">
        <f t="shared" si="459"/>
        <v>0.27105263157894738</v>
      </c>
    </row>
    <row r="3572" spans="1:11" ht="24.95" customHeight="1">
      <c r="A3572" s="1376" t="s">
        <v>2629</v>
      </c>
      <c r="B3572" s="1236" t="s">
        <v>2630</v>
      </c>
      <c r="C3572" s="1226">
        <v>55</v>
      </c>
      <c r="D3572" s="1226">
        <v>19</v>
      </c>
      <c r="E3572" s="1412">
        <f t="shared" si="457"/>
        <v>0.34545454545454546</v>
      </c>
      <c r="F3572" s="1226">
        <v>9240</v>
      </c>
      <c r="G3572" s="1226">
        <f>4440+174</f>
        <v>4614</v>
      </c>
      <c r="H3572" s="1414">
        <f t="shared" si="458"/>
        <v>0.49935064935064938</v>
      </c>
      <c r="I3572" s="1375">
        <f t="shared" si="461"/>
        <v>9295</v>
      </c>
      <c r="J3572" s="695">
        <f t="shared" si="460"/>
        <v>4633</v>
      </c>
      <c r="K3572" s="650">
        <f t="shared" si="459"/>
        <v>0.49844002151694461</v>
      </c>
    </row>
    <row r="3573" spans="1:11" ht="24.95" customHeight="1">
      <c r="A3573" s="1376" t="s">
        <v>2631</v>
      </c>
      <c r="B3573" s="1220" t="s">
        <v>2632</v>
      </c>
      <c r="C3573" s="1226">
        <v>470</v>
      </c>
      <c r="D3573" s="1226">
        <f>89+76</f>
        <v>165</v>
      </c>
      <c r="E3573" s="1412">
        <f t="shared" si="457"/>
        <v>0.35106382978723405</v>
      </c>
      <c r="F3573" s="1226">
        <v>15230</v>
      </c>
      <c r="G3573" s="1226">
        <f>7180+310</f>
        <v>7490</v>
      </c>
      <c r="H3573" s="1414">
        <f t="shared" si="458"/>
        <v>0.49179251477347341</v>
      </c>
      <c r="I3573" s="1375">
        <f t="shared" si="461"/>
        <v>15700</v>
      </c>
      <c r="J3573" s="695">
        <f t="shared" si="460"/>
        <v>7655</v>
      </c>
      <c r="K3573" s="650">
        <f t="shared" si="459"/>
        <v>0.48757961783439491</v>
      </c>
    </row>
    <row r="3574" spans="1:11" ht="24.95" customHeight="1">
      <c r="A3574" s="1376" t="s">
        <v>2178</v>
      </c>
      <c r="B3574" s="1220" t="s">
        <v>2179</v>
      </c>
      <c r="C3574" s="1226">
        <v>745</v>
      </c>
      <c r="D3574" s="1226">
        <f>141+146</f>
        <v>287</v>
      </c>
      <c r="E3574" s="1412">
        <f t="shared" si="457"/>
        <v>0.38523489932885907</v>
      </c>
      <c r="F3574" s="1226">
        <v>20900</v>
      </c>
      <c r="G3574" s="1226">
        <f>10412+159</f>
        <v>10571</v>
      </c>
      <c r="H3574" s="1414">
        <f t="shared" si="458"/>
        <v>0.50578947368421057</v>
      </c>
      <c r="I3574" s="1375">
        <f t="shared" si="461"/>
        <v>21645</v>
      </c>
      <c r="J3574" s="695">
        <f t="shared" si="460"/>
        <v>10858</v>
      </c>
      <c r="K3574" s="650">
        <f t="shared" si="459"/>
        <v>0.50164010164010164</v>
      </c>
    </row>
    <row r="3575" spans="1:11" ht="24.95" customHeight="1">
      <c r="A3575" s="1376" t="s">
        <v>2963</v>
      </c>
      <c r="B3575" s="1220" t="s">
        <v>2964</v>
      </c>
      <c r="C3575" s="1226"/>
      <c r="D3575" s="1226"/>
      <c r="E3575" s="1412" t="e">
        <f t="shared" si="457"/>
        <v>#DIV/0!</v>
      </c>
      <c r="F3575" s="1226"/>
      <c r="G3575" s="1226">
        <v>2</v>
      </c>
      <c r="H3575" s="1414" t="e">
        <f t="shared" si="458"/>
        <v>#DIV/0!</v>
      </c>
      <c r="I3575" s="1375">
        <f t="shared" si="461"/>
        <v>0</v>
      </c>
      <c r="J3575" s="695">
        <f t="shared" si="460"/>
        <v>2</v>
      </c>
      <c r="K3575" s="650" t="e">
        <f t="shared" si="459"/>
        <v>#DIV/0!</v>
      </c>
    </row>
    <row r="3576" spans="1:11" ht="24.95" customHeight="1">
      <c r="A3576" s="1376" t="s">
        <v>2633</v>
      </c>
      <c r="B3576" s="1236" t="s">
        <v>2965</v>
      </c>
      <c r="C3576" s="1226">
        <v>1</v>
      </c>
      <c r="D3576" s="1226"/>
      <c r="E3576" s="1412">
        <f t="shared" si="457"/>
        <v>0</v>
      </c>
      <c r="F3576" s="1226">
        <v>5740</v>
      </c>
      <c r="G3576" s="1226">
        <f>3000+8+2</f>
        <v>3010</v>
      </c>
      <c r="H3576" s="1414">
        <f t="shared" si="458"/>
        <v>0.52439024390243905</v>
      </c>
      <c r="I3576" s="1375">
        <f t="shared" si="461"/>
        <v>5741</v>
      </c>
      <c r="J3576" s="695">
        <f t="shared" si="460"/>
        <v>3010</v>
      </c>
      <c r="K3576" s="650">
        <f t="shared" si="459"/>
        <v>0.52429890263020384</v>
      </c>
    </row>
    <row r="3577" spans="1:11" ht="24.95" customHeight="1">
      <c r="A3577" s="1376" t="s">
        <v>2635</v>
      </c>
      <c r="B3577" s="1236" t="s">
        <v>6268</v>
      </c>
      <c r="C3577" s="1226"/>
      <c r="D3577" s="1226"/>
      <c r="E3577" s="1412" t="e">
        <f t="shared" si="457"/>
        <v>#DIV/0!</v>
      </c>
      <c r="F3577" s="1226">
        <v>10</v>
      </c>
      <c r="G3577" s="1226"/>
      <c r="H3577" s="1414">
        <f t="shared" si="458"/>
        <v>0</v>
      </c>
      <c r="I3577" s="1375">
        <f t="shared" si="461"/>
        <v>10</v>
      </c>
      <c r="J3577" s="695">
        <f t="shared" si="460"/>
        <v>0</v>
      </c>
      <c r="K3577" s="650">
        <f t="shared" si="459"/>
        <v>0</v>
      </c>
    </row>
    <row r="3578" spans="1:11" ht="24.95" customHeight="1">
      <c r="A3578" s="1376" t="s">
        <v>2967</v>
      </c>
      <c r="B3578" s="1236" t="s">
        <v>2968</v>
      </c>
      <c r="C3578" s="1226"/>
      <c r="D3578" s="1226"/>
      <c r="E3578" s="1412" t="e">
        <f t="shared" si="457"/>
        <v>#DIV/0!</v>
      </c>
      <c r="F3578" s="1226">
        <v>10</v>
      </c>
      <c r="G3578" s="1226">
        <v>1</v>
      </c>
      <c r="H3578" s="1414">
        <f t="shared" si="458"/>
        <v>0.1</v>
      </c>
      <c r="I3578" s="1375">
        <f t="shared" si="461"/>
        <v>10</v>
      </c>
      <c r="J3578" s="695">
        <f t="shared" si="460"/>
        <v>1</v>
      </c>
      <c r="K3578" s="650">
        <f t="shared" si="459"/>
        <v>0.1</v>
      </c>
    </row>
    <row r="3579" spans="1:11" ht="24.95" customHeight="1">
      <c r="A3579" s="1376" t="s">
        <v>6269</v>
      </c>
      <c r="B3579" s="1236" t="s">
        <v>6270</v>
      </c>
      <c r="C3579" s="1226"/>
      <c r="D3579" s="1226"/>
      <c r="E3579" s="1412" t="e">
        <f t="shared" si="457"/>
        <v>#DIV/0!</v>
      </c>
      <c r="F3579" s="1226">
        <v>10</v>
      </c>
      <c r="G3579" s="1226"/>
      <c r="H3579" s="1414">
        <f t="shared" si="458"/>
        <v>0</v>
      </c>
      <c r="I3579" s="1375">
        <f t="shared" si="461"/>
        <v>10</v>
      </c>
      <c r="J3579" s="695">
        <f t="shared" si="460"/>
        <v>0</v>
      </c>
      <c r="K3579" s="650">
        <f t="shared" si="459"/>
        <v>0</v>
      </c>
    </row>
    <row r="3580" spans="1:11" ht="24.95" customHeight="1">
      <c r="A3580" s="1235" t="s">
        <v>2637</v>
      </c>
      <c r="B3580" s="1236" t="s">
        <v>2638</v>
      </c>
      <c r="C3580" s="1226"/>
      <c r="D3580" s="1226"/>
      <c r="E3580" s="1412" t="e">
        <f t="shared" si="457"/>
        <v>#DIV/0!</v>
      </c>
      <c r="F3580" s="1226">
        <v>710</v>
      </c>
      <c r="G3580" s="1226">
        <v>293</v>
      </c>
      <c r="H3580" s="1414">
        <f t="shared" si="458"/>
        <v>0.41267605633802817</v>
      </c>
      <c r="I3580" s="1375">
        <f t="shared" si="461"/>
        <v>710</v>
      </c>
      <c r="J3580" s="695">
        <f t="shared" si="460"/>
        <v>293</v>
      </c>
      <c r="K3580" s="650">
        <f t="shared" si="459"/>
        <v>0.41267605633802817</v>
      </c>
    </row>
    <row r="3581" spans="1:11" ht="24.95" customHeight="1">
      <c r="A3581" s="1235" t="s">
        <v>6271</v>
      </c>
      <c r="B3581" s="1236" t="s">
        <v>6272</v>
      </c>
      <c r="C3581" s="1226"/>
      <c r="D3581" s="1226"/>
      <c r="E3581" s="1412" t="e">
        <f t="shared" si="457"/>
        <v>#DIV/0!</v>
      </c>
      <c r="F3581" s="1226">
        <v>5</v>
      </c>
      <c r="G3581" s="1226"/>
      <c r="H3581" s="1414">
        <f t="shared" si="458"/>
        <v>0</v>
      </c>
      <c r="I3581" s="1375">
        <f t="shared" si="461"/>
        <v>5</v>
      </c>
      <c r="J3581" s="695">
        <f t="shared" si="460"/>
        <v>0</v>
      </c>
      <c r="K3581" s="650">
        <f t="shared" si="459"/>
        <v>0</v>
      </c>
    </row>
    <row r="3582" spans="1:11" ht="24.95" customHeight="1">
      <c r="A3582" s="1235" t="s">
        <v>6273</v>
      </c>
      <c r="B3582" s="1236" t="s">
        <v>6274</v>
      </c>
      <c r="C3582" s="1226"/>
      <c r="D3582" s="1226"/>
      <c r="E3582" s="1412" t="e">
        <f t="shared" si="457"/>
        <v>#DIV/0!</v>
      </c>
      <c r="F3582" s="1226">
        <v>10</v>
      </c>
      <c r="G3582" s="1226">
        <v>2</v>
      </c>
      <c r="H3582" s="1414">
        <f t="shared" si="458"/>
        <v>0.2</v>
      </c>
      <c r="I3582" s="1375">
        <f t="shared" si="461"/>
        <v>10</v>
      </c>
      <c r="J3582" s="695">
        <f t="shared" si="460"/>
        <v>2</v>
      </c>
      <c r="K3582" s="650">
        <f t="shared" si="459"/>
        <v>0.2</v>
      </c>
    </row>
    <row r="3583" spans="1:11" ht="24.95" customHeight="1">
      <c r="A3583" s="1235" t="s">
        <v>2639</v>
      </c>
      <c r="B3583" s="1236" t="s">
        <v>2640</v>
      </c>
      <c r="C3583" s="1226"/>
      <c r="D3583" s="1226"/>
      <c r="E3583" s="1412" t="e">
        <f t="shared" si="457"/>
        <v>#DIV/0!</v>
      </c>
      <c r="F3583" s="1226">
        <v>40</v>
      </c>
      <c r="G3583" s="1226">
        <v>3</v>
      </c>
      <c r="H3583" s="1414">
        <f t="shared" si="458"/>
        <v>7.4999999999999997E-2</v>
      </c>
      <c r="I3583" s="1375">
        <f t="shared" si="461"/>
        <v>40</v>
      </c>
      <c r="J3583" s="695">
        <f t="shared" si="460"/>
        <v>3</v>
      </c>
      <c r="K3583" s="650">
        <f t="shared" si="459"/>
        <v>7.4999999999999997E-2</v>
      </c>
    </row>
    <row r="3584" spans="1:11" ht="24.95" customHeight="1">
      <c r="A3584" s="1235" t="s">
        <v>2641</v>
      </c>
      <c r="B3584" s="1236" t="s">
        <v>3148</v>
      </c>
      <c r="C3584" s="1226"/>
      <c r="D3584" s="1226"/>
      <c r="E3584" s="1412" t="e">
        <f t="shared" si="457"/>
        <v>#DIV/0!</v>
      </c>
      <c r="F3584" s="1226">
        <v>30</v>
      </c>
      <c r="G3584" s="1226">
        <v>2</v>
      </c>
      <c r="H3584" s="1414">
        <f t="shared" si="458"/>
        <v>6.6666666666666666E-2</v>
      </c>
      <c r="I3584" s="1375">
        <f t="shared" si="461"/>
        <v>30</v>
      </c>
      <c r="J3584" s="695">
        <f t="shared" si="460"/>
        <v>2</v>
      </c>
      <c r="K3584" s="650">
        <f t="shared" si="459"/>
        <v>6.6666666666666666E-2</v>
      </c>
    </row>
    <row r="3585" spans="1:11" ht="24.95" customHeight="1">
      <c r="A3585" s="1235" t="s">
        <v>2643</v>
      </c>
      <c r="B3585" s="1236" t="s">
        <v>3819</v>
      </c>
      <c r="C3585" s="1226"/>
      <c r="D3585" s="1226"/>
      <c r="E3585" s="1412" t="e">
        <f t="shared" si="457"/>
        <v>#DIV/0!</v>
      </c>
      <c r="F3585" s="1226">
        <v>75</v>
      </c>
      <c r="G3585" s="1226">
        <v>2</v>
      </c>
      <c r="H3585" s="1414">
        <f t="shared" si="458"/>
        <v>2.6666666666666668E-2</v>
      </c>
      <c r="I3585" s="1375">
        <f t="shared" si="461"/>
        <v>75</v>
      </c>
      <c r="J3585" s="695">
        <f t="shared" si="460"/>
        <v>2</v>
      </c>
      <c r="K3585" s="650">
        <f t="shared" si="459"/>
        <v>2.6666666666666668E-2</v>
      </c>
    </row>
    <row r="3586" spans="1:11" ht="24.95" customHeight="1">
      <c r="A3586" s="1235" t="s">
        <v>2974</v>
      </c>
      <c r="B3586" s="1236" t="s">
        <v>2975</v>
      </c>
      <c r="C3586" s="1226"/>
      <c r="D3586" s="1226"/>
      <c r="E3586" s="1412" t="e">
        <f t="shared" si="457"/>
        <v>#DIV/0!</v>
      </c>
      <c r="F3586" s="1226">
        <v>5</v>
      </c>
      <c r="G3586" s="1226"/>
      <c r="H3586" s="1414">
        <f t="shared" si="458"/>
        <v>0</v>
      </c>
      <c r="I3586" s="1375">
        <f t="shared" si="461"/>
        <v>5</v>
      </c>
      <c r="J3586" s="695">
        <f t="shared" si="460"/>
        <v>0</v>
      </c>
      <c r="K3586" s="650">
        <f t="shared" si="459"/>
        <v>0</v>
      </c>
    </row>
    <row r="3587" spans="1:11" ht="24.95" customHeight="1">
      <c r="A3587" s="1235" t="s">
        <v>3761</v>
      </c>
      <c r="B3587" s="1236" t="s">
        <v>3762</v>
      </c>
      <c r="C3587" s="1226"/>
      <c r="D3587" s="1226"/>
      <c r="E3587" s="1412" t="e">
        <f t="shared" si="457"/>
        <v>#DIV/0!</v>
      </c>
      <c r="F3587" s="1226">
        <v>100</v>
      </c>
      <c r="G3587" s="1226"/>
      <c r="H3587" s="1414">
        <f t="shared" si="458"/>
        <v>0</v>
      </c>
      <c r="I3587" s="1375">
        <f t="shared" si="461"/>
        <v>100</v>
      </c>
      <c r="J3587" s="695">
        <f t="shared" si="460"/>
        <v>0</v>
      </c>
      <c r="K3587" s="650">
        <f t="shared" si="459"/>
        <v>0</v>
      </c>
    </row>
    <row r="3588" spans="1:11" ht="24.95" customHeight="1">
      <c r="A3588" s="1235" t="s">
        <v>2976</v>
      </c>
      <c r="B3588" s="1236" t="s">
        <v>2977</v>
      </c>
      <c r="C3588" s="1226"/>
      <c r="D3588" s="1226"/>
      <c r="E3588" s="1412" t="e">
        <f t="shared" si="457"/>
        <v>#DIV/0!</v>
      </c>
      <c r="F3588" s="1226">
        <v>2</v>
      </c>
      <c r="G3588" s="1226">
        <v>4</v>
      </c>
      <c r="H3588" s="1414">
        <f t="shared" si="458"/>
        <v>2</v>
      </c>
      <c r="I3588" s="1375">
        <f t="shared" si="461"/>
        <v>2</v>
      </c>
      <c r="J3588" s="695">
        <f t="shared" si="460"/>
        <v>4</v>
      </c>
      <c r="K3588" s="650">
        <f t="shared" si="459"/>
        <v>2</v>
      </c>
    </row>
    <row r="3589" spans="1:11" ht="24.95" customHeight="1">
      <c r="A3589" s="1235" t="s">
        <v>2645</v>
      </c>
      <c r="B3589" s="1233" t="s">
        <v>2962</v>
      </c>
      <c r="C3589" s="1226"/>
      <c r="D3589" s="1226"/>
      <c r="E3589" s="1412" t="e">
        <f t="shared" si="457"/>
        <v>#DIV/0!</v>
      </c>
      <c r="F3589" s="1226">
        <v>750</v>
      </c>
      <c r="G3589" s="1226">
        <f>479+29</f>
        <v>508</v>
      </c>
      <c r="H3589" s="1414">
        <f t="shared" si="458"/>
        <v>0.67733333333333334</v>
      </c>
      <c r="I3589" s="1375">
        <f t="shared" si="461"/>
        <v>750</v>
      </c>
      <c r="J3589" s="695">
        <f t="shared" si="460"/>
        <v>508</v>
      </c>
      <c r="K3589" s="650">
        <f t="shared" si="459"/>
        <v>0.67733333333333334</v>
      </c>
    </row>
    <row r="3590" spans="1:11" ht="24.95" customHeight="1">
      <c r="A3590" s="1235" t="s">
        <v>2969</v>
      </c>
      <c r="B3590" s="1233" t="s">
        <v>6275</v>
      </c>
      <c r="C3590" s="1226"/>
      <c r="D3590" s="1226"/>
      <c r="E3590" s="1412" t="e">
        <f t="shared" si="457"/>
        <v>#DIV/0!</v>
      </c>
      <c r="F3590" s="1226">
        <v>5</v>
      </c>
      <c r="G3590" s="1226"/>
      <c r="H3590" s="1414">
        <f t="shared" si="458"/>
        <v>0</v>
      </c>
      <c r="I3590" s="1375">
        <f t="shared" si="461"/>
        <v>5</v>
      </c>
      <c r="J3590" s="695">
        <f t="shared" si="460"/>
        <v>0</v>
      </c>
      <c r="K3590" s="650">
        <f t="shared" si="459"/>
        <v>0</v>
      </c>
    </row>
    <row r="3591" spans="1:11" ht="24.95" customHeight="1">
      <c r="A3591" s="1376" t="s">
        <v>4393</v>
      </c>
      <c r="B3591" s="1220" t="s">
        <v>4394</v>
      </c>
      <c r="C3591" s="1226"/>
      <c r="D3591" s="1226"/>
      <c r="E3591" s="1412" t="e">
        <f t="shared" si="457"/>
        <v>#DIV/0!</v>
      </c>
      <c r="F3591" s="1226"/>
      <c r="G3591" s="1226"/>
      <c r="H3591" s="1414" t="e">
        <f t="shared" si="458"/>
        <v>#DIV/0!</v>
      </c>
      <c r="I3591" s="1375">
        <f t="shared" si="461"/>
        <v>0</v>
      </c>
      <c r="J3591" s="695">
        <f t="shared" si="460"/>
        <v>0</v>
      </c>
      <c r="K3591" s="650" t="e">
        <f t="shared" si="459"/>
        <v>#DIV/0!</v>
      </c>
    </row>
    <row r="3592" spans="1:11" ht="24.95" customHeight="1">
      <c r="A3592" s="1376" t="s">
        <v>2894</v>
      </c>
      <c r="B3592" s="1220" t="s">
        <v>2895</v>
      </c>
      <c r="C3592" s="1226"/>
      <c r="D3592" s="1226"/>
      <c r="E3592" s="1412" t="e">
        <f t="shared" si="457"/>
        <v>#DIV/0!</v>
      </c>
      <c r="F3592" s="1226"/>
      <c r="G3592" s="1226"/>
      <c r="H3592" s="1414" t="e">
        <f t="shared" si="458"/>
        <v>#DIV/0!</v>
      </c>
      <c r="I3592" s="1375">
        <f t="shared" si="461"/>
        <v>0</v>
      </c>
      <c r="J3592" s="695">
        <f t="shared" si="460"/>
        <v>0</v>
      </c>
      <c r="K3592" s="650" t="e">
        <f t="shared" si="459"/>
        <v>#DIV/0!</v>
      </c>
    </row>
    <row r="3593" spans="1:11" ht="24.95" customHeight="1">
      <c r="A3593" s="1235" t="s">
        <v>2927</v>
      </c>
      <c r="B3593" s="1236" t="s">
        <v>2928</v>
      </c>
      <c r="C3593" s="1226"/>
      <c r="D3593" s="1226"/>
      <c r="E3593" s="1412" t="e">
        <f t="shared" si="457"/>
        <v>#DIV/0!</v>
      </c>
      <c r="F3593" s="1226"/>
      <c r="G3593" s="1226"/>
      <c r="H3593" s="1414" t="e">
        <f t="shared" si="458"/>
        <v>#DIV/0!</v>
      </c>
      <c r="I3593" s="1375">
        <f t="shared" si="461"/>
        <v>0</v>
      </c>
      <c r="J3593" s="695">
        <f t="shared" si="460"/>
        <v>0</v>
      </c>
      <c r="K3593" s="650" t="e">
        <f t="shared" si="459"/>
        <v>#DIV/0!</v>
      </c>
    </row>
    <row r="3594" spans="1:11" ht="24.95" customHeight="1">
      <c r="A3594" s="1376" t="s">
        <v>2929</v>
      </c>
      <c r="B3594" s="1220" t="s">
        <v>2930</v>
      </c>
      <c r="C3594" s="1226"/>
      <c r="D3594" s="1226"/>
      <c r="E3594" s="1412" t="e">
        <f t="shared" si="457"/>
        <v>#DIV/0!</v>
      </c>
      <c r="F3594" s="1226"/>
      <c r="G3594" s="1226"/>
      <c r="H3594" s="1414" t="e">
        <f t="shared" si="458"/>
        <v>#DIV/0!</v>
      </c>
      <c r="I3594" s="1375">
        <f t="shared" si="461"/>
        <v>0</v>
      </c>
      <c r="J3594" s="695">
        <f t="shared" si="460"/>
        <v>0</v>
      </c>
      <c r="K3594" s="650" t="e">
        <f t="shared" si="459"/>
        <v>#DIV/0!</v>
      </c>
    </row>
    <row r="3595" spans="1:11" ht="24.95" customHeight="1">
      <c r="A3595" s="1376" t="s">
        <v>3734</v>
      </c>
      <c r="B3595" s="1233" t="s">
        <v>6276</v>
      </c>
      <c r="C3595" s="1226">
        <v>40</v>
      </c>
      <c r="D3595" s="1226">
        <v>8</v>
      </c>
      <c r="E3595" s="1412">
        <f t="shared" si="457"/>
        <v>0.2</v>
      </c>
      <c r="F3595" s="1226">
        <v>30</v>
      </c>
      <c r="G3595" s="1226">
        <v>76</v>
      </c>
      <c r="H3595" s="1414">
        <f t="shared" si="458"/>
        <v>2.5333333333333332</v>
      </c>
      <c r="I3595" s="1375">
        <f t="shared" si="461"/>
        <v>70</v>
      </c>
      <c r="J3595" s="695">
        <f t="shared" si="460"/>
        <v>84</v>
      </c>
      <c r="K3595" s="650">
        <f t="shared" si="459"/>
        <v>1.2</v>
      </c>
    </row>
    <row r="3596" spans="1:11" ht="24.95" customHeight="1">
      <c r="A3596" s="1376" t="s">
        <v>4153</v>
      </c>
      <c r="B3596" s="1233" t="s">
        <v>6277</v>
      </c>
      <c r="C3596" s="1226">
        <v>1</v>
      </c>
      <c r="D3596" s="1226"/>
      <c r="E3596" s="1412">
        <f t="shared" si="457"/>
        <v>0</v>
      </c>
      <c r="F3596" s="1226">
        <v>5</v>
      </c>
      <c r="G3596" s="1226">
        <v>1</v>
      </c>
      <c r="H3596" s="1414">
        <f t="shared" si="458"/>
        <v>0.2</v>
      </c>
      <c r="I3596" s="1375"/>
      <c r="J3596" s="695">
        <f t="shared" si="460"/>
        <v>1</v>
      </c>
      <c r="K3596" s="650" t="e">
        <f t="shared" si="459"/>
        <v>#DIV/0!</v>
      </c>
    </row>
    <row r="3597" spans="1:11" ht="24.95" customHeight="1">
      <c r="A3597" s="1376" t="s">
        <v>3738</v>
      </c>
      <c r="B3597" s="1233" t="s">
        <v>3739</v>
      </c>
      <c r="C3597" s="1226">
        <v>230</v>
      </c>
      <c r="D3597" s="1226">
        <v>7</v>
      </c>
      <c r="E3597" s="1412">
        <f t="shared" si="457"/>
        <v>3.0434782608695653E-2</v>
      </c>
      <c r="F3597" s="1226">
        <v>35</v>
      </c>
      <c r="G3597" s="1226">
        <v>56</v>
      </c>
      <c r="H3597" s="1414">
        <f t="shared" si="458"/>
        <v>1.6</v>
      </c>
      <c r="I3597" s="1375">
        <f t="shared" ref="I3597:I3610" si="462">+C3597+F3597</f>
        <v>265</v>
      </c>
      <c r="J3597" s="695">
        <f t="shared" si="460"/>
        <v>63</v>
      </c>
      <c r="K3597" s="650">
        <f t="shared" si="459"/>
        <v>0.23773584905660378</v>
      </c>
    </row>
    <row r="3598" spans="1:11" ht="24.95" customHeight="1">
      <c r="A3598" s="1376" t="s">
        <v>6278</v>
      </c>
      <c r="B3598" s="1233" t="s">
        <v>4077</v>
      </c>
      <c r="C3598" s="1226"/>
      <c r="D3598" s="1226"/>
      <c r="E3598" s="1412" t="e">
        <f t="shared" si="457"/>
        <v>#DIV/0!</v>
      </c>
      <c r="F3598" s="1226">
        <v>25</v>
      </c>
      <c r="G3598" s="1226"/>
      <c r="H3598" s="1414">
        <f t="shared" si="458"/>
        <v>0</v>
      </c>
      <c r="I3598" s="1375">
        <f t="shared" si="462"/>
        <v>25</v>
      </c>
      <c r="J3598" s="695">
        <f t="shared" si="460"/>
        <v>0</v>
      </c>
      <c r="K3598" s="650">
        <f t="shared" si="459"/>
        <v>0</v>
      </c>
    </row>
    <row r="3599" spans="1:11" ht="24.95" customHeight="1">
      <c r="A3599" s="1376" t="s">
        <v>2615</v>
      </c>
      <c r="B3599" s="1233" t="s">
        <v>6279</v>
      </c>
      <c r="C3599" s="1226">
        <v>5</v>
      </c>
      <c r="D3599" s="1226"/>
      <c r="E3599" s="1412">
        <f t="shared" si="457"/>
        <v>0</v>
      </c>
      <c r="F3599" s="1226">
        <v>2700</v>
      </c>
      <c r="G3599" s="1226">
        <f>998+2972</f>
        <v>3970</v>
      </c>
      <c r="H3599" s="1414">
        <f t="shared" si="458"/>
        <v>1.4703703703703703</v>
      </c>
      <c r="I3599" s="1375">
        <f t="shared" si="462"/>
        <v>2705</v>
      </c>
      <c r="J3599" s="695">
        <f t="shared" si="460"/>
        <v>3970</v>
      </c>
      <c r="K3599" s="650">
        <f t="shared" si="459"/>
        <v>1.4676524953789278</v>
      </c>
    </row>
    <row r="3600" spans="1:11" ht="24.95" customHeight="1">
      <c r="A3600" s="1376" t="s">
        <v>2647</v>
      </c>
      <c r="B3600" s="1233" t="s">
        <v>2648</v>
      </c>
      <c r="C3600" s="1226"/>
      <c r="D3600" s="1226"/>
      <c r="E3600" s="1412" t="e">
        <f t="shared" si="457"/>
        <v>#DIV/0!</v>
      </c>
      <c r="F3600" s="1226">
        <v>15</v>
      </c>
      <c r="G3600" s="1226"/>
      <c r="H3600" s="1414">
        <f t="shared" si="458"/>
        <v>0</v>
      </c>
      <c r="I3600" s="1375">
        <f t="shared" si="462"/>
        <v>15</v>
      </c>
      <c r="J3600" s="695">
        <f t="shared" si="460"/>
        <v>0</v>
      </c>
      <c r="K3600" s="650">
        <f t="shared" si="459"/>
        <v>0</v>
      </c>
    </row>
    <row r="3601" spans="1:11" ht="24.95" customHeight="1">
      <c r="A3601" s="1376" t="s">
        <v>2649</v>
      </c>
      <c r="B3601" s="1233" t="s">
        <v>2650</v>
      </c>
      <c r="C3601" s="1226">
        <v>2</v>
      </c>
      <c r="D3601" s="1226">
        <v>3</v>
      </c>
      <c r="E3601" s="1412">
        <f t="shared" si="457"/>
        <v>1.5</v>
      </c>
      <c r="F3601" s="1226"/>
      <c r="G3601" s="1226"/>
      <c r="H3601" s="1414" t="e">
        <f t="shared" si="458"/>
        <v>#DIV/0!</v>
      </c>
      <c r="I3601" s="1375">
        <f t="shared" si="462"/>
        <v>2</v>
      </c>
      <c r="J3601" s="695">
        <f t="shared" si="460"/>
        <v>3</v>
      </c>
      <c r="K3601" s="650">
        <f t="shared" si="459"/>
        <v>1.5</v>
      </c>
    </row>
    <row r="3602" spans="1:11" ht="24.95" customHeight="1">
      <c r="A3602" s="1235" t="s">
        <v>2657</v>
      </c>
      <c r="B3602" s="1236" t="s">
        <v>6280</v>
      </c>
      <c r="C3602" s="1226"/>
      <c r="D3602" s="1226"/>
      <c r="E3602" s="1412" t="e">
        <f t="shared" si="457"/>
        <v>#DIV/0!</v>
      </c>
      <c r="F3602" s="1226">
        <v>250</v>
      </c>
      <c r="G3602" s="1226">
        <f>529+1</f>
        <v>530</v>
      </c>
      <c r="H3602" s="1414">
        <f t="shared" si="458"/>
        <v>2.12</v>
      </c>
      <c r="I3602" s="1375">
        <f t="shared" si="462"/>
        <v>250</v>
      </c>
      <c r="J3602" s="695">
        <f t="shared" si="460"/>
        <v>530</v>
      </c>
      <c r="K3602" s="650">
        <f t="shared" si="459"/>
        <v>2.12</v>
      </c>
    </row>
    <row r="3603" spans="1:11" ht="24.95" customHeight="1">
      <c r="A3603" s="1376" t="s">
        <v>6281</v>
      </c>
      <c r="B3603" s="1236" t="s">
        <v>6282</v>
      </c>
      <c r="C3603" s="1226"/>
      <c r="D3603" s="1226"/>
      <c r="E3603" s="1412" t="e">
        <f t="shared" si="457"/>
        <v>#DIV/0!</v>
      </c>
      <c r="F3603" s="1226">
        <v>2</v>
      </c>
      <c r="G3603" s="1226"/>
      <c r="H3603" s="1414">
        <f t="shared" si="458"/>
        <v>0</v>
      </c>
      <c r="I3603" s="1375">
        <f t="shared" si="462"/>
        <v>2</v>
      </c>
      <c r="J3603" s="695">
        <f t="shared" si="460"/>
        <v>0</v>
      </c>
      <c r="K3603" s="650">
        <f t="shared" si="459"/>
        <v>0</v>
      </c>
    </row>
    <row r="3604" spans="1:11" ht="24.95" customHeight="1">
      <c r="A3604" s="1376" t="s">
        <v>6283</v>
      </c>
      <c r="B3604" s="1233" t="s">
        <v>6284</v>
      </c>
      <c r="C3604" s="1226">
        <v>1</v>
      </c>
      <c r="D3604" s="1226"/>
      <c r="E3604" s="1412">
        <f t="shared" si="457"/>
        <v>0</v>
      </c>
      <c r="F3604" s="1226"/>
      <c r="G3604" s="1226"/>
      <c r="H3604" s="1414" t="e">
        <f t="shared" si="458"/>
        <v>#DIV/0!</v>
      </c>
      <c r="I3604" s="1375">
        <f t="shared" si="462"/>
        <v>1</v>
      </c>
      <c r="J3604" s="695">
        <f t="shared" si="460"/>
        <v>0</v>
      </c>
      <c r="K3604" s="650">
        <f t="shared" si="459"/>
        <v>0</v>
      </c>
    </row>
    <row r="3605" spans="1:11" ht="24.95" customHeight="1">
      <c r="A3605" s="1376" t="s">
        <v>6285</v>
      </c>
      <c r="B3605" s="1233" t="s">
        <v>6286</v>
      </c>
      <c r="C3605" s="1226">
        <v>2</v>
      </c>
      <c r="D3605" s="1226"/>
      <c r="E3605" s="1412">
        <f t="shared" si="457"/>
        <v>0</v>
      </c>
      <c r="F3605" s="1226"/>
      <c r="G3605" s="1226"/>
      <c r="H3605" s="1414" t="e">
        <f t="shared" si="458"/>
        <v>#DIV/0!</v>
      </c>
      <c r="I3605" s="1375">
        <f t="shared" si="462"/>
        <v>2</v>
      </c>
      <c r="J3605" s="695">
        <f t="shared" si="460"/>
        <v>0</v>
      </c>
      <c r="K3605" s="650">
        <f t="shared" si="459"/>
        <v>0</v>
      </c>
    </row>
    <row r="3606" spans="1:11" ht="24.95" customHeight="1">
      <c r="A3606" s="1376" t="s">
        <v>2667</v>
      </c>
      <c r="B3606" s="1233" t="s">
        <v>6287</v>
      </c>
      <c r="C3606" s="1226"/>
      <c r="D3606" s="1226"/>
      <c r="E3606" s="1412" t="e">
        <f t="shared" si="457"/>
        <v>#DIV/0!</v>
      </c>
      <c r="F3606" s="1226">
        <v>45</v>
      </c>
      <c r="G3606" s="1226">
        <f>34+8</f>
        <v>42</v>
      </c>
      <c r="H3606" s="1414">
        <f t="shared" si="458"/>
        <v>0.93333333333333335</v>
      </c>
      <c r="I3606" s="1375">
        <f t="shared" si="462"/>
        <v>45</v>
      </c>
      <c r="J3606" s="695">
        <f t="shared" si="460"/>
        <v>42</v>
      </c>
      <c r="K3606" s="650">
        <f t="shared" si="459"/>
        <v>0.93333333333333335</v>
      </c>
    </row>
    <row r="3607" spans="1:11" ht="24.95" customHeight="1">
      <c r="A3607" s="1376" t="s">
        <v>2669</v>
      </c>
      <c r="B3607" s="1233" t="s">
        <v>6288</v>
      </c>
      <c r="C3607" s="1226"/>
      <c r="D3607" s="1226"/>
      <c r="E3607" s="1412" t="e">
        <f t="shared" si="457"/>
        <v>#DIV/0!</v>
      </c>
      <c r="F3607" s="1226">
        <v>2</v>
      </c>
      <c r="G3607" s="1226"/>
      <c r="H3607" s="1414">
        <f t="shared" si="458"/>
        <v>0</v>
      </c>
      <c r="I3607" s="1375">
        <f t="shared" si="462"/>
        <v>2</v>
      </c>
      <c r="J3607" s="695">
        <f t="shared" si="460"/>
        <v>0</v>
      </c>
      <c r="K3607" s="650">
        <f t="shared" si="459"/>
        <v>0</v>
      </c>
    </row>
    <row r="3608" spans="1:11" ht="24.95" customHeight="1">
      <c r="A3608" s="1376" t="s">
        <v>6289</v>
      </c>
      <c r="B3608" s="1233" t="s">
        <v>6290</v>
      </c>
      <c r="C3608" s="1226">
        <v>1</v>
      </c>
      <c r="D3608" s="1226"/>
      <c r="E3608" s="1412">
        <f t="shared" si="457"/>
        <v>0</v>
      </c>
      <c r="F3608" s="1226">
        <v>1</v>
      </c>
      <c r="G3608" s="1226"/>
      <c r="H3608" s="1414">
        <f t="shared" si="458"/>
        <v>0</v>
      </c>
      <c r="I3608" s="1375">
        <f t="shared" si="462"/>
        <v>2</v>
      </c>
      <c r="J3608" s="695">
        <f t="shared" si="460"/>
        <v>0</v>
      </c>
      <c r="K3608" s="650">
        <f t="shared" si="459"/>
        <v>0</v>
      </c>
    </row>
    <row r="3609" spans="1:11" ht="24.95" customHeight="1">
      <c r="A3609" s="1376" t="s">
        <v>6291</v>
      </c>
      <c r="B3609" s="1233" t="s">
        <v>6292</v>
      </c>
      <c r="C3609" s="1226">
        <v>2</v>
      </c>
      <c r="D3609" s="1226"/>
      <c r="E3609" s="1412">
        <f t="shared" si="457"/>
        <v>0</v>
      </c>
      <c r="F3609" s="1226"/>
      <c r="G3609" s="1226"/>
      <c r="H3609" s="1414" t="e">
        <f t="shared" si="458"/>
        <v>#DIV/0!</v>
      </c>
      <c r="I3609" s="1375">
        <f t="shared" si="462"/>
        <v>2</v>
      </c>
      <c r="J3609" s="695">
        <f t="shared" si="460"/>
        <v>0</v>
      </c>
      <c r="K3609" s="650">
        <f t="shared" si="459"/>
        <v>0</v>
      </c>
    </row>
    <row r="3610" spans="1:11" ht="24.95" customHeight="1">
      <c r="A3610" s="1376" t="s">
        <v>6293</v>
      </c>
      <c r="B3610" s="1233" t="s">
        <v>6294</v>
      </c>
      <c r="C3610" s="1226">
        <v>2</v>
      </c>
      <c r="D3610" s="1226"/>
      <c r="E3610" s="1412">
        <f t="shared" si="457"/>
        <v>0</v>
      </c>
      <c r="F3610" s="1226"/>
      <c r="G3610" s="1226"/>
      <c r="H3610" s="1414" t="e">
        <f t="shared" si="458"/>
        <v>#DIV/0!</v>
      </c>
      <c r="I3610" s="1375">
        <f t="shared" si="462"/>
        <v>2</v>
      </c>
      <c r="J3610" s="695">
        <f t="shared" si="460"/>
        <v>0</v>
      </c>
      <c r="K3610" s="650">
        <f t="shared" si="459"/>
        <v>0</v>
      </c>
    </row>
    <row r="3611" spans="1:11" ht="24.95" customHeight="1">
      <c r="A3611" s="1376"/>
      <c r="B3611" s="1236" t="s">
        <v>2</v>
      </c>
      <c r="C3611" s="1226">
        <f t="shared" ref="C3611:G3611" si="463">SUM(C3360:C3610)</f>
        <v>22552</v>
      </c>
      <c r="D3611" s="1226">
        <f t="shared" si="463"/>
        <v>10060</v>
      </c>
      <c r="E3611" s="1412">
        <f t="shared" si="457"/>
        <v>0.4460801702731465</v>
      </c>
      <c r="F3611" s="1226">
        <f t="shared" si="463"/>
        <v>109027</v>
      </c>
      <c r="G3611" s="1226">
        <f t="shared" si="463"/>
        <v>56425</v>
      </c>
      <c r="H3611" s="1414">
        <f t="shared" si="458"/>
        <v>0.51753235437093559</v>
      </c>
      <c r="I3611" s="1417">
        <f>SUM(I3359:I3608)</f>
        <v>131305</v>
      </c>
      <c r="J3611" s="1417">
        <f>SUM(J3359:J3608)</f>
        <v>66485</v>
      </c>
      <c r="K3611" s="650">
        <f t="shared" si="459"/>
        <v>0.50634020029701843</v>
      </c>
    </row>
    <row r="3612" spans="1:11" ht="24.95" customHeight="1">
      <c r="A3612" s="1376"/>
      <c r="B3612" s="1418" t="s">
        <v>3978</v>
      </c>
      <c r="C3612" s="2004"/>
      <c r="D3612" s="2005"/>
      <c r="E3612" s="2005"/>
      <c r="F3612" s="2005"/>
      <c r="G3612" s="2005"/>
      <c r="H3612" s="2005"/>
      <c r="I3612" s="2005"/>
      <c r="J3612" s="2005"/>
      <c r="K3612" s="2006"/>
    </row>
    <row r="3613" spans="1:11" ht="24.95" customHeight="1">
      <c r="A3613" s="1376">
        <v>130207</v>
      </c>
      <c r="B3613" s="1220" t="s">
        <v>2390</v>
      </c>
      <c r="C3613" s="1419"/>
      <c r="D3613" s="1419"/>
      <c r="E3613" s="1420"/>
      <c r="F3613" s="1419">
        <v>2</v>
      </c>
      <c r="G3613" s="1419"/>
      <c r="H3613" s="1420">
        <f>+G3613/F3613</f>
        <v>0</v>
      </c>
      <c r="I3613" s="1421">
        <f t="shared" ref="I3613:I3647" si="464">+C3613+F3613</f>
        <v>2</v>
      </c>
      <c r="J3613" s="695">
        <f>+G3613</f>
        <v>0</v>
      </c>
      <c r="K3613" s="650">
        <f>+J3613/I3613</f>
        <v>0</v>
      </c>
    </row>
    <row r="3614" spans="1:11" ht="24.95" customHeight="1">
      <c r="A3614" s="1376" t="s">
        <v>2393</v>
      </c>
      <c r="B3614" s="1220" t="s">
        <v>2394</v>
      </c>
      <c r="C3614" s="1273"/>
      <c r="D3614" s="1273"/>
      <c r="E3614" s="1295"/>
      <c r="F3614" s="1226">
        <v>1</v>
      </c>
      <c r="G3614" s="1226"/>
      <c r="H3614" s="1420">
        <f t="shared" ref="H3614:H3670" si="465">+G3614/F3614</f>
        <v>0</v>
      </c>
      <c r="I3614" s="1375">
        <f t="shared" si="464"/>
        <v>1</v>
      </c>
      <c r="J3614" s="695">
        <f t="shared" ref="J3614:J3666" si="466">+G3614</f>
        <v>0</v>
      </c>
      <c r="K3614" s="650">
        <f t="shared" ref="K3614:K3670" si="467">+J3614/I3614</f>
        <v>0</v>
      </c>
    </row>
    <row r="3615" spans="1:11" ht="24.95" customHeight="1">
      <c r="A3615" s="1376" t="s">
        <v>2395</v>
      </c>
      <c r="B3615" s="1220" t="s">
        <v>2396</v>
      </c>
      <c r="C3615" s="1273"/>
      <c r="D3615" s="1273"/>
      <c r="E3615" s="1295"/>
      <c r="F3615" s="1226">
        <v>35</v>
      </c>
      <c r="G3615" s="1226">
        <v>6</v>
      </c>
      <c r="H3615" s="1420">
        <f t="shared" si="465"/>
        <v>0.17142857142857143</v>
      </c>
      <c r="I3615" s="1375">
        <f t="shared" si="464"/>
        <v>35</v>
      </c>
      <c r="J3615" s="695">
        <f t="shared" si="466"/>
        <v>6</v>
      </c>
      <c r="K3615" s="650">
        <f t="shared" si="467"/>
        <v>0.17142857142857143</v>
      </c>
    </row>
    <row r="3616" spans="1:11" ht="24.95" customHeight="1">
      <c r="A3616" s="1376" t="s">
        <v>3052</v>
      </c>
      <c r="B3616" s="1220" t="s">
        <v>3053</v>
      </c>
      <c r="C3616" s="1273"/>
      <c r="D3616" s="1273"/>
      <c r="E3616" s="1295"/>
      <c r="F3616" s="1226">
        <v>2</v>
      </c>
      <c r="G3616" s="1226"/>
      <c r="H3616" s="1420">
        <f t="shared" si="465"/>
        <v>0</v>
      </c>
      <c r="I3616" s="1375">
        <f t="shared" si="464"/>
        <v>2</v>
      </c>
      <c r="J3616" s="695">
        <f t="shared" si="466"/>
        <v>0</v>
      </c>
      <c r="K3616" s="650">
        <f t="shared" si="467"/>
        <v>0</v>
      </c>
    </row>
    <row r="3617" spans="1:11" ht="24.95" customHeight="1">
      <c r="A3617" s="1376" t="s">
        <v>2401</v>
      </c>
      <c r="B3617" s="1220" t="s">
        <v>2402</v>
      </c>
      <c r="C3617" s="1273"/>
      <c r="D3617" s="1273"/>
      <c r="E3617" s="1295"/>
      <c r="F3617" s="1226">
        <v>15</v>
      </c>
      <c r="G3617" s="1226">
        <v>4</v>
      </c>
      <c r="H3617" s="1420">
        <f t="shared" si="465"/>
        <v>0.26666666666666666</v>
      </c>
      <c r="I3617" s="1375">
        <f t="shared" si="464"/>
        <v>15</v>
      </c>
      <c r="J3617" s="695">
        <f t="shared" si="466"/>
        <v>4</v>
      </c>
      <c r="K3617" s="650">
        <f t="shared" si="467"/>
        <v>0.26666666666666666</v>
      </c>
    </row>
    <row r="3618" spans="1:11" ht="24.95" customHeight="1">
      <c r="A3618" s="1376" t="s">
        <v>2805</v>
      </c>
      <c r="B3618" s="1220" t="s">
        <v>3547</v>
      </c>
      <c r="C3618" s="1273"/>
      <c r="D3618" s="1273"/>
      <c r="E3618" s="1295"/>
      <c r="F3618" s="1226">
        <v>5</v>
      </c>
      <c r="G3618" s="1226"/>
      <c r="H3618" s="1420">
        <f t="shared" si="465"/>
        <v>0</v>
      </c>
      <c r="I3618" s="1375">
        <f t="shared" si="464"/>
        <v>5</v>
      </c>
      <c r="J3618" s="695">
        <f t="shared" si="466"/>
        <v>0</v>
      </c>
      <c r="K3618" s="650">
        <f t="shared" si="467"/>
        <v>0</v>
      </c>
    </row>
    <row r="3619" spans="1:11" ht="24.95" customHeight="1">
      <c r="A3619" s="1376" t="s">
        <v>3557</v>
      </c>
      <c r="B3619" s="1357" t="s">
        <v>4115</v>
      </c>
      <c r="C3619" s="1226"/>
      <c r="D3619" s="1226"/>
      <c r="E3619" s="1278"/>
      <c r="F3619" s="1226">
        <v>2</v>
      </c>
      <c r="G3619" s="1226"/>
      <c r="H3619" s="1420">
        <f t="shared" si="465"/>
        <v>0</v>
      </c>
      <c r="I3619" s="1375">
        <f t="shared" si="464"/>
        <v>2</v>
      </c>
      <c r="J3619" s="695">
        <f t="shared" si="466"/>
        <v>0</v>
      </c>
      <c r="K3619" s="650">
        <f t="shared" si="467"/>
        <v>0</v>
      </c>
    </row>
    <row r="3620" spans="1:11" ht="24.95" customHeight="1">
      <c r="A3620" s="1376" t="s">
        <v>2423</v>
      </c>
      <c r="B3620" s="1220" t="s">
        <v>2424</v>
      </c>
      <c r="C3620" s="1273"/>
      <c r="D3620" s="1273"/>
      <c r="E3620" s="1295"/>
      <c r="F3620" s="1226">
        <v>25</v>
      </c>
      <c r="G3620" s="1226">
        <v>7</v>
      </c>
      <c r="H3620" s="1420">
        <f t="shared" si="465"/>
        <v>0.28000000000000003</v>
      </c>
      <c r="I3620" s="1375">
        <f t="shared" si="464"/>
        <v>25</v>
      </c>
      <c r="J3620" s="695">
        <f t="shared" si="466"/>
        <v>7</v>
      </c>
      <c r="K3620" s="650">
        <f t="shared" si="467"/>
        <v>0.28000000000000003</v>
      </c>
    </row>
    <row r="3621" spans="1:11" ht="24.95" customHeight="1">
      <c r="A3621" s="1376" t="s">
        <v>3886</v>
      </c>
      <c r="B3621" s="1220" t="s">
        <v>3887</v>
      </c>
      <c r="C3621" s="1226"/>
      <c r="D3621" s="1226"/>
      <c r="E3621" s="1278"/>
      <c r="F3621" s="1226">
        <v>35</v>
      </c>
      <c r="G3621" s="1226"/>
      <c r="H3621" s="1420">
        <f t="shared" si="465"/>
        <v>0</v>
      </c>
      <c r="I3621" s="1375">
        <f t="shared" si="464"/>
        <v>35</v>
      </c>
      <c r="J3621" s="695">
        <f t="shared" si="466"/>
        <v>0</v>
      </c>
      <c r="K3621" s="650">
        <f t="shared" si="467"/>
        <v>0</v>
      </c>
    </row>
    <row r="3622" spans="1:11" ht="24.95" customHeight="1">
      <c r="A3622" s="1376" t="s">
        <v>5194</v>
      </c>
      <c r="B3622" s="1220" t="s">
        <v>5195</v>
      </c>
      <c r="C3622" s="1226"/>
      <c r="D3622" s="1226"/>
      <c r="E3622" s="1278"/>
      <c r="F3622" s="1226">
        <v>2</v>
      </c>
      <c r="G3622" s="1226"/>
      <c r="H3622" s="1420">
        <f t="shared" si="465"/>
        <v>0</v>
      </c>
      <c r="I3622" s="1375">
        <f t="shared" si="464"/>
        <v>2</v>
      </c>
      <c r="J3622" s="695">
        <f t="shared" si="466"/>
        <v>0</v>
      </c>
      <c r="K3622" s="650">
        <f t="shared" si="467"/>
        <v>0</v>
      </c>
    </row>
    <row r="3623" spans="1:11" ht="24.95" customHeight="1">
      <c r="A3623" s="1376" t="s">
        <v>3404</v>
      </c>
      <c r="B3623" s="1220" t="s">
        <v>6171</v>
      </c>
      <c r="C3623" s="1226"/>
      <c r="D3623" s="1226"/>
      <c r="E3623" s="1278"/>
      <c r="F3623" s="1226">
        <v>2</v>
      </c>
      <c r="G3623" s="1226"/>
      <c r="H3623" s="1420">
        <f t="shared" si="465"/>
        <v>0</v>
      </c>
      <c r="I3623" s="1375">
        <f t="shared" si="464"/>
        <v>2</v>
      </c>
      <c r="J3623" s="695">
        <f t="shared" si="466"/>
        <v>0</v>
      </c>
      <c r="K3623" s="650">
        <f t="shared" si="467"/>
        <v>0</v>
      </c>
    </row>
    <row r="3624" spans="1:11" ht="24.95" customHeight="1">
      <c r="A3624" s="1376" t="s">
        <v>3914</v>
      </c>
      <c r="B3624" s="1357" t="s">
        <v>3915</v>
      </c>
      <c r="C3624" s="1226"/>
      <c r="D3624" s="1226"/>
      <c r="E3624" s="1278"/>
      <c r="F3624" s="1226">
        <v>5</v>
      </c>
      <c r="G3624" s="1226">
        <v>1</v>
      </c>
      <c r="H3624" s="1420">
        <f t="shared" si="465"/>
        <v>0.2</v>
      </c>
      <c r="I3624" s="1375">
        <f t="shared" si="464"/>
        <v>5</v>
      </c>
      <c r="J3624" s="695">
        <f t="shared" si="466"/>
        <v>1</v>
      </c>
      <c r="K3624" s="650">
        <f t="shared" si="467"/>
        <v>0.2</v>
      </c>
    </row>
    <row r="3625" spans="1:11" ht="24.95" customHeight="1">
      <c r="A3625" s="1376" t="s">
        <v>6106</v>
      </c>
      <c r="B3625" s="1220" t="s">
        <v>6107</v>
      </c>
      <c r="C3625" s="1226"/>
      <c r="D3625" s="1226"/>
      <c r="E3625" s="1278"/>
      <c r="F3625" s="1226">
        <v>2</v>
      </c>
      <c r="G3625" s="1226"/>
      <c r="H3625" s="1420">
        <f t="shared" si="465"/>
        <v>0</v>
      </c>
      <c r="I3625" s="1375">
        <f t="shared" si="464"/>
        <v>2</v>
      </c>
      <c r="J3625" s="695">
        <f t="shared" si="466"/>
        <v>0</v>
      </c>
      <c r="K3625" s="650">
        <f t="shared" si="467"/>
        <v>0</v>
      </c>
    </row>
    <row r="3626" spans="1:11" ht="24.95" customHeight="1">
      <c r="A3626" s="1376" t="s">
        <v>6295</v>
      </c>
      <c r="B3626" s="1220" t="s">
        <v>6209</v>
      </c>
      <c r="C3626" s="1273"/>
      <c r="D3626" s="1273"/>
      <c r="E3626" s="1295"/>
      <c r="F3626" s="1226">
        <v>2</v>
      </c>
      <c r="G3626" s="1226"/>
      <c r="H3626" s="1420">
        <f t="shared" si="465"/>
        <v>0</v>
      </c>
      <c r="I3626" s="1375">
        <f t="shared" si="464"/>
        <v>2</v>
      </c>
      <c r="J3626" s="695">
        <f t="shared" si="466"/>
        <v>0</v>
      </c>
      <c r="K3626" s="650">
        <f t="shared" si="467"/>
        <v>0</v>
      </c>
    </row>
    <row r="3627" spans="1:11" ht="24.95" customHeight="1">
      <c r="A3627" s="1376" t="s">
        <v>6296</v>
      </c>
      <c r="B3627" s="1220" t="s">
        <v>6297</v>
      </c>
      <c r="C3627" s="1273"/>
      <c r="D3627" s="1273"/>
      <c r="E3627" s="1295"/>
      <c r="F3627" s="1226">
        <v>2</v>
      </c>
      <c r="G3627" s="1226"/>
      <c r="H3627" s="1420">
        <f t="shared" si="465"/>
        <v>0</v>
      </c>
      <c r="I3627" s="1375">
        <f t="shared" si="464"/>
        <v>2</v>
      </c>
      <c r="J3627" s="695">
        <f t="shared" si="466"/>
        <v>0</v>
      </c>
      <c r="K3627" s="650">
        <f t="shared" si="467"/>
        <v>0</v>
      </c>
    </row>
    <row r="3628" spans="1:11" ht="24.95" customHeight="1">
      <c r="A3628" s="1376" t="s">
        <v>2896</v>
      </c>
      <c r="B3628" s="1220" t="s">
        <v>2897</v>
      </c>
      <c r="C3628" s="1226"/>
      <c r="D3628" s="1226"/>
      <c r="E3628" s="1278"/>
      <c r="F3628" s="1226">
        <v>110</v>
      </c>
      <c r="G3628" s="1226">
        <v>39</v>
      </c>
      <c r="H3628" s="1420">
        <f t="shared" si="465"/>
        <v>0.35454545454545455</v>
      </c>
      <c r="I3628" s="1375">
        <f t="shared" si="464"/>
        <v>110</v>
      </c>
      <c r="J3628" s="695">
        <f t="shared" si="466"/>
        <v>39</v>
      </c>
      <c r="K3628" s="650">
        <f t="shared" si="467"/>
        <v>0.35454545454545455</v>
      </c>
    </row>
    <row r="3629" spans="1:11" ht="24.95" customHeight="1">
      <c r="A3629" s="1376" t="s">
        <v>2439</v>
      </c>
      <c r="B3629" s="1236" t="s">
        <v>2440</v>
      </c>
      <c r="C3629" s="1273"/>
      <c r="D3629" s="1273"/>
      <c r="E3629" s="1295"/>
      <c r="F3629" s="1226">
        <v>130</v>
      </c>
      <c r="G3629" s="1226">
        <v>16</v>
      </c>
      <c r="H3629" s="1420">
        <f t="shared" si="465"/>
        <v>0.12307692307692308</v>
      </c>
      <c r="I3629" s="1375">
        <f t="shared" si="464"/>
        <v>130</v>
      </c>
      <c r="J3629" s="695">
        <f t="shared" si="466"/>
        <v>16</v>
      </c>
      <c r="K3629" s="650">
        <f t="shared" si="467"/>
        <v>0.12307692307692308</v>
      </c>
    </row>
    <row r="3630" spans="1:11" ht="24.95" customHeight="1">
      <c r="A3630" s="1376" t="s">
        <v>2479</v>
      </c>
      <c r="B3630" s="1220" t="s">
        <v>2480</v>
      </c>
      <c r="C3630" s="1226"/>
      <c r="D3630" s="1226"/>
      <c r="E3630" s="1278"/>
      <c r="F3630" s="1226">
        <v>1</v>
      </c>
      <c r="G3630" s="1226"/>
      <c r="H3630" s="1420">
        <f t="shared" si="465"/>
        <v>0</v>
      </c>
      <c r="I3630" s="1375">
        <f t="shared" si="464"/>
        <v>1</v>
      </c>
      <c r="J3630" s="695">
        <f t="shared" si="466"/>
        <v>0</v>
      </c>
      <c r="K3630" s="650">
        <f t="shared" si="467"/>
        <v>0</v>
      </c>
    </row>
    <row r="3631" spans="1:11" ht="24.95" customHeight="1">
      <c r="A3631" s="1376" t="s">
        <v>4393</v>
      </c>
      <c r="B3631" s="1236" t="s">
        <v>4394</v>
      </c>
      <c r="C3631" s="1273"/>
      <c r="D3631" s="1273"/>
      <c r="E3631" s="1295"/>
      <c r="F3631" s="1226">
        <v>3</v>
      </c>
      <c r="G3631" s="1226"/>
      <c r="H3631" s="1420">
        <f t="shared" si="465"/>
        <v>0</v>
      </c>
      <c r="I3631" s="1375">
        <f t="shared" si="464"/>
        <v>3</v>
      </c>
      <c r="J3631" s="695">
        <f t="shared" si="466"/>
        <v>0</v>
      </c>
      <c r="K3631" s="650">
        <f t="shared" si="467"/>
        <v>0</v>
      </c>
    </row>
    <row r="3632" spans="1:11" ht="24.95" customHeight="1">
      <c r="A3632" s="1376" t="s">
        <v>2455</v>
      </c>
      <c r="B3632" s="1220" t="s">
        <v>2456</v>
      </c>
      <c r="C3632" s="1226"/>
      <c r="D3632" s="1226"/>
      <c r="E3632" s="1278"/>
      <c r="F3632" s="1226">
        <v>2</v>
      </c>
      <c r="G3632" s="1226"/>
      <c r="H3632" s="1420">
        <f t="shared" si="465"/>
        <v>0</v>
      </c>
      <c r="I3632" s="1375">
        <f t="shared" si="464"/>
        <v>2</v>
      </c>
      <c r="J3632" s="695">
        <f t="shared" si="466"/>
        <v>0</v>
      </c>
      <c r="K3632" s="650">
        <f t="shared" si="467"/>
        <v>0</v>
      </c>
    </row>
    <row r="3633" spans="1:11" ht="24.95" customHeight="1">
      <c r="A3633" s="1235" t="s">
        <v>2481</v>
      </c>
      <c r="B3633" s="1236" t="s">
        <v>2935</v>
      </c>
      <c r="C3633" s="1226"/>
      <c r="D3633" s="1226"/>
      <c r="E3633" s="1278"/>
      <c r="F3633" s="1226">
        <v>1</v>
      </c>
      <c r="G3633" s="1226"/>
      <c r="H3633" s="1420">
        <f t="shared" si="465"/>
        <v>0</v>
      </c>
      <c r="I3633" s="1375">
        <f t="shared" si="464"/>
        <v>1</v>
      </c>
      <c r="J3633" s="695">
        <f t="shared" si="466"/>
        <v>0</v>
      </c>
      <c r="K3633" s="650">
        <f t="shared" si="467"/>
        <v>0</v>
      </c>
    </row>
    <row r="3634" spans="1:11" ht="24.95" customHeight="1">
      <c r="A3634" s="1376" t="s">
        <v>2469</v>
      </c>
      <c r="B3634" s="1220" t="s">
        <v>2470</v>
      </c>
      <c r="C3634" s="1273"/>
      <c r="D3634" s="1273"/>
      <c r="E3634" s="1295"/>
      <c r="F3634" s="1226">
        <v>3</v>
      </c>
      <c r="G3634" s="1226">
        <v>1</v>
      </c>
      <c r="H3634" s="1420">
        <f t="shared" si="465"/>
        <v>0.33333333333333331</v>
      </c>
      <c r="I3634" s="1375">
        <f t="shared" si="464"/>
        <v>3</v>
      </c>
      <c r="J3634" s="695">
        <f t="shared" si="466"/>
        <v>1</v>
      </c>
      <c r="K3634" s="650">
        <f t="shared" si="467"/>
        <v>0.33333333333333331</v>
      </c>
    </row>
    <row r="3635" spans="1:11" ht="24.95" customHeight="1">
      <c r="A3635" s="1376" t="s">
        <v>6246</v>
      </c>
      <c r="B3635" s="1220" t="s">
        <v>6247</v>
      </c>
      <c r="C3635" s="1226"/>
      <c r="D3635" s="1226"/>
      <c r="E3635" s="1278"/>
      <c r="F3635" s="1226">
        <v>3</v>
      </c>
      <c r="G3635" s="1226"/>
      <c r="H3635" s="1420">
        <f t="shared" si="465"/>
        <v>0</v>
      </c>
      <c r="I3635" s="1375">
        <f t="shared" si="464"/>
        <v>3</v>
      </c>
      <c r="J3635" s="695">
        <f t="shared" si="466"/>
        <v>0</v>
      </c>
      <c r="K3635" s="650">
        <f t="shared" si="467"/>
        <v>0</v>
      </c>
    </row>
    <row r="3636" spans="1:11" ht="24.95" customHeight="1">
      <c r="A3636" s="1376" t="s">
        <v>2908</v>
      </c>
      <c r="B3636" s="1220" t="s">
        <v>2476</v>
      </c>
      <c r="C3636" s="1226"/>
      <c r="D3636" s="1226"/>
      <c r="E3636" s="1278"/>
      <c r="F3636" s="1226">
        <v>2</v>
      </c>
      <c r="G3636" s="1226"/>
      <c r="H3636" s="1420">
        <f t="shared" si="465"/>
        <v>0</v>
      </c>
      <c r="I3636" s="1375">
        <f t="shared" si="464"/>
        <v>2</v>
      </c>
      <c r="J3636" s="695">
        <f t="shared" si="466"/>
        <v>0</v>
      </c>
      <c r="K3636" s="650">
        <f t="shared" si="467"/>
        <v>0</v>
      </c>
    </row>
    <row r="3637" spans="1:11" ht="24.95" customHeight="1">
      <c r="A3637" s="1235" t="s">
        <v>2927</v>
      </c>
      <c r="B3637" s="1236" t="s">
        <v>2928</v>
      </c>
      <c r="C3637" s="1226"/>
      <c r="D3637" s="1226"/>
      <c r="E3637" s="1278"/>
      <c r="F3637" s="1226">
        <v>2</v>
      </c>
      <c r="G3637" s="1226">
        <v>1</v>
      </c>
      <c r="H3637" s="1420">
        <f t="shared" si="465"/>
        <v>0.5</v>
      </c>
      <c r="I3637" s="1375">
        <f t="shared" si="464"/>
        <v>2</v>
      </c>
      <c r="J3637" s="695">
        <f t="shared" si="466"/>
        <v>1</v>
      </c>
      <c r="K3637" s="650">
        <f t="shared" si="467"/>
        <v>0.5</v>
      </c>
    </row>
    <row r="3638" spans="1:11" ht="24.95" customHeight="1">
      <c r="A3638" s="1376" t="s">
        <v>4411</v>
      </c>
      <c r="B3638" s="1220" t="s">
        <v>6298</v>
      </c>
      <c r="C3638" s="1226"/>
      <c r="D3638" s="1226"/>
      <c r="E3638" s="1278"/>
      <c r="F3638" s="1226">
        <v>2</v>
      </c>
      <c r="G3638" s="1226"/>
      <c r="H3638" s="1420">
        <f t="shared" si="465"/>
        <v>0</v>
      </c>
      <c r="I3638" s="1375">
        <f t="shared" si="464"/>
        <v>2</v>
      </c>
      <c r="J3638" s="695">
        <f t="shared" si="466"/>
        <v>0</v>
      </c>
      <c r="K3638" s="650">
        <f t="shared" si="467"/>
        <v>0</v>
      </c>
    </row>
    <row r="3639" spans="1:11" ht="24.95" customHeight="1">
      <c r="A3639" s="1376" t="s">
        <v>3041</v>
      </c>
      <c r="B3639" s="1220" t="s">
        <v>3042</v>
      </c>
      <c r="C3639" s="1226"/>
      <c r="D3639" s="1226"/>
      <c r="E3639" s="1278"/>
      <c r="F3639" s="1226">
        <v>2</v>
      </c>
      <c r="G3639" s="1226"/>
      <c r="H3639" s="1420">
        <f t="shared" si="465"/>
        <v>0</v>
      </c>
      <c r="I3639" s="1375">
        <f t="shared" si="464"/>
        <v>2</v>
      </c>
      <c r="J3639" s="695">
        <f t="shared" si="466"/>
        <v>0</v>
      </c>
      <c r="K3639" s="650">
        <f t="shared" si="467"/>
        <v>0</v>
      </c>
    </row>
    <row r="3640" spans="1:11" ht="24.95" customHeight="1">
      <c r="A3640" s="1376" t="s">
        <v>2548</v>
      </c>
      <c r="B3640" s="1220" t="s">
        <v>2549</v>
      </c>
      <c r="C3640" s="1226"/>
      <c r="D3640" s="1226"/>
      <c r="E3640" s="1278"/>
      <c r="F3640" s="1226">
        <v>2</v>
      </c>
      <c r="G3640" s="1226"/>
      <c r="H3640" s="1420">
        <f t="shared" si="465"/>
        <v>0</v>
      </c>
      <c r="I3640" s="1375">
        <f t="shared" si="464"/>
        <v>2</v>
      </c>
      <c r="J3640" s="695">
        <f t="shared" si="466"/>
        <v>0</v>
      </c>
      <c r="K3640" s="650">
        <f t="shared" si="467"/>
        <v>0</v>
      </c>
    </row>
    <row r="3641" spans="1:11" ht="24.95" customHeight="1">
      <c r="A3641" s="1376" t="s">
        <v>2949</v>
      </c>
      <c r="B3641" s="1220" t="s">
        <v>6262</v>
      </c>
      <c r="C3641" s="1226"/>
      <c r="D3641" s="1226"/>
      <c r="E3641" s="1278"/>
      <c r="F3641" s="1226">
        <v>2</v>
      </c>
      <c r="G3641" s="1226"/>
      <c r="H3641" s="1420">
        <f t="shared" si="465"/>
        <v>0</v>
      </c>
      <c r="I3641" s="1375">
        <f t="shared" si="464"/>
        <v>2</v>
      </c>
      <c r="J3641" s="695">
        <f t="shared" si="466"/>
        <v>0</v>
      </c>
      <c r="K3641" s="650">
        <f t="shared" si="467"/>
        <v>0</v>
      </c>
    </row>
    <row r="3642" spans="1:11" ht="24.95" customHeight="1">
      <c r="A3642" s="1376" t="s">
        <v>2327</v>
      </c>
      <c r="B3642" s="1236" t="s">
        <v>2328</v>
      </c>
      <c r="C3642" s="1226"/>
      <c r="D3642" s="1226"/>
      <c r="E3642" s="1278"/>
      <c r="F3642" s="1226">
        <v>2</v>
      </c>
      <c r="G3642" s="1226"/>
      <c r="H3642" s="1420">
        <f t="shared" si="465"/>
        <v>0</v>
      </c>
      <c r="I3642" s="1375">
        <f t="shared" si="464"/>
        <v>2</v>
      </c>
      <c r="J3642" s="695">
        <f t="shared" si="466"/>
        <v>0</v>
      </c>
      <c r="K3642" s="650">
        <f t="shared" si="467"/>
        <v>0</v>
      </c>
    </row>
    <row r="3643" spans="1:11" ht="24.95" customHeight="1">
      <c r="A3643" s="1376" t="s">
        <v>2620</v>
      </c>
      <c r="B3643" s="1220" t="s">
        <v>2621</v>
      </c>
      <c r="C3643" s="1273"/>
      <c r="D3643" s="1273"/>
      <c r="E3643" s="1295"/>
      <c r="F3643" s="1226">
        <v>10</v>
      </c>
      <c r="G3643" s="1226"/>
      <c r="H3643" s="1420">
        <f t="shared" si="465"/>
        <v>0</v>
      </c>
      <c r="I3643" s="1375">
        <f t="shared" si="464"/>
        <v>10</v>
      </c>
      <c r="J3643" s="695">
        <f t="shared" si="466"/>
        <v>0</v>
      </c>
      <c r="K3643" s="650">
        <f t="shared" si="467"/>
        <v>0</v>
      </c>
    </row>
    <row r="3644" spans="1:11" ht="24.95" customHeight="1">
      <c r="A3644" s="1376" t="s">
        <v>2329</v>
      </c>
      <c r="B3644" s="1220" t="s">
        <v>2961</v>
      </c>
      <c r="C3644" s="1226"/>
      <c r="D3644" s="1226"/>
      <c r="E3644" s="1278"/>
      <c r="F3644" s="1226">
        <v>2</v>
      </c>
      <c r="G3644" s="1226"/>
      <c r="H3644" s="1420">
        <f t="shared" si="465"/>
        <v>0</v>
      </c>
      <c r="I3644" s="1375">
        <f t="shared" si="464"/>
        <v>2</v>
      </c>
      <c r="J3644" s="695">
        <f t="shared" si="466"/>
        <v>0</v>
      </c>
      <c r="K3644" s="650">
        <f t="shared" si="467"/>
        <v>0</v>
      </c>
    </row>
    <row r="3645" spans="1:11" ht="24.95" customHeight="1">
      <c r="A3645" s="1376" t="s">
        <v>2622</v>
      </c>
      <c r="B3645" s="1233" t="s">
        <v>2962</v>
      </c>
      <c r="C3645" s="1273"/>
      <c r="D3645" s="1273"/>
      <c r="E3645" s="1295"/>
      <c r="F3645" s="1226">
        <v>1</v>
      </c>
      <c r="G3645" s="1226"/>
      <c r="H3645" s="1420">
        <f t="shared" si="465"/>
        <v>0</v>
      </c>
      <c r="I3645" s="1375">
        <f t="shared" si="464"/>
        <v>1</v>
      </c>
      <c r="J3645" s="695">
        <f t="shared" si="466"/>
        <v>0</v>
      </c>
      <c r="K3645" s="650">
        <f t="shared" si="467"/>
        <v>0</v>
      </c>
    </row>
    <row r="3646" spans="1:11" ht="24.95" customHeight="1">
      <c r="A3646" s="1235" t="s">
        <v>2624</v>
      </c>
      <c r="B3646" s="1236" t="s">
        <v>2330</v>
      </c>
      <c r="C3646" s="1273"/>
      <c r="D3646" s="1273"/>
      <c r="E3646" s="1295"/>
      <c r="F3646" s="1226">
        <v>280</v>
      </c>
      <c r="G3646" s="1226">
        <v>70</v>
      </c>
      <c r="H3646" s="1420">
        <f t="shared" si="465"/>
        <v>0.25</v>
      </c>
      <c r="I3646" s="1375">
        <f t="shared" si="464"/>
        <v>280</v>
      </c>
      <c r="J3646" s="695">
        <f t="shared" si="466"/>
        <v>70</v>
      </c>
      <c r="K3646" s="650">
        <f t="shared" si="467"/>
        <v>0.25</v>
      </c>
    </row>
    <row r="3647" spans="1:11" ht="24.95" customHeight="1">
      <c r="A3647" s="1235" t="s">
        <v>2331</v>
      </c>
      <c r="B3647" s="1236" t="s">
        <v>2332</v>
      </c>
      <c r="C3647" s="1226"/>
      <c r="D3647" s="1226"/>
      <c r="E3647" s="1278"/>
      <c r="F3647" s="1226">
        <v>1</v>
      </c>
      <c r="G3647" s="1226"/>
      <c r="H3647" s="1420">
        <f t="shared" si="465"/>
        <v>0</v>
      </c>
      <c r="I3647" s="1375">
        <f t="shared" si="464"/>
        <v>1</v>
      </c>
      <c r="J3647" s="695">
        <f t="shared" si="466"/>
        <v>0</v>
      </c>
      <c r="K3647" s="650">
        <f t="shared" si="467"/>
        <v>0</v>
      </c>
    </row>
    <row r="3648" spans="1:11" ht="24.95" customHeight="1">
      <c r="A3648" s="1235" t="s">
        <v>2625</v>
      </c>
      <c r="B3648" s="1236" t="s">
        <v>2626</v>
      </c>
      <c r="C3648" s="1226"/>
      <c r="D3648" s="1226"/>
      <c r="E3648" s="1278"/>
      <c r="F3648" s="1226">
        <v>1</v>
      </c>
      <c r="G3648" s="1226"/>
      <c r="H3648" s="1420">
        <f t="shared" si="465"/>
        <v>0</v>
      </c>
      <c r="I3648" s="1375"/>
      <c r="J3648" s="695">
        <f t="shared" si="466"/>
        <v>0</v>
      </c>
      <c r="K3648" s="650" t="e">
        <f t="shared" si="467"/>
        <v>#DIV/0!</v>
      </c>
    </row>
    <row r="3649" spans="1:11" ht="24.95" customHeight="1">
      <c r="A3649" s="1235" t="s">
        <v>2627</v>
      </c>
      <c r="B3649" s="1236" t="s">
        <v>2628</v>
      </c>
      <c r="C3649" s="1226"/>
      <c r="D3649" s="1226"/>
      <c r="E3649" s="1278"/>
      <c r="F3649" s="1226">
        <v>1</v>
      </c>
      <c r="G3649" s="1226"/>
      <c r="H3649" s="1420">
        <f t="shared" si="465"/>
        <v>0</v>
      </c>
      <c r="I3649" s="1375">
        <f t="shared" ref="I3649:I3666" si="468">+C3649+F3649</f>
        <v>1</v>
      </c>
      <c r="J3649" s="695">
        <f t="shared" si="466"/>
        <v>0</v>
      </c>
      <c r="K3649" s="650">
        <f t="shared" si="467"/>
        <v>0</v>
      </c>
    </row>
    <row r="3650" spans="1:11" ht="24.95" customHeight="1">
      <c r="A3650" s="1376" t="s">
        <v>2629</v>
      </c>
      <c r="B3650" s="1236" t="s">
        <v>2630</v>
      </c>
      <c r="C3650" s="1273"/>
      <c r="D3650" s="1273"/>
      <c r="E3650" s="1295"/>
      <c r="F3650" s="1226">
        <v>40</v>
      </c>
      <c r="G3650" s="1226">
        <v>10</v>
      </c>
      <c r="H3650" s="1420">
        <f t="shared" si="465"/>
        <v>0.25</v>
      </c>
      <c r="I3650" s="1375">
        <f t="shared" si="468"/>
        <v>40</v>
      </c>
      <c r="J3650" s="695">
        <f t="shared" si="466"/>
        <v>10</v>
      </c>
      <c r="K3650" s="650">
        <f t="shared" si="467"/>
        <v>0.25</v>
      </c>
    </row>
    <row r="3651" spans="1:11" ht="24.95" customHeight="1">
      <c r="A3651" s="1376" t="s">
        <v>2631</v>
      </c>
      <c r="B3651" s="1220" t="s">
        <v>2632</v>
      </c>
      <c r="C3651" s="1273"/>
      <c r="D3651" s="1273"/>
      <c r="E3651" s="1295"/>
      <c r="F3651" s="1226">
        <v>160</v>
      </c>
      <c r="G3651" s="1226">
        <v>33</v>
      </c>
      <c r="H3651" s="1420">
        <f t="shared" si="465"/>
        <v>0.20624999999999999</v>
      </c>
      <c r="I3651" s="1375">
        <f t="shared" si="468"/>
        <v>160</v>
      </c>
      <c r="J3651" s="695">
        <f t="shared" si="466"/>
        <v>33</v>
      </c>
      <c r="K3651" s="650">
        <f t="shared" si="467"/>
        <v>0.20624999999999999</v>
      </c>
    </row>
    <row r="3652" spans="1:11" ht="24.95" customHeight="1">
      <c r="A3652" s="1376" t="s">
        <v>2178</v>
      </c>
      <c r="B3652" s="1220" t="s">
        <v>2179</v>
      </c>
      <c r="C3652" s="1273"/>
      <c r="D3652" s="1273"/>
      <c r="E3652" s="1295"/>
      <c r="F3652" s="1226">
        <v>100</v>
      </c>
      <c r="G3652" s="1226">
        <v>19</v>
      </c>
      <c r="H3652" s="1420">
        <f t="shared" si="465"/>
        <v>0.19</v>
      </c>
      <c r="I3652" s="1375">
        <f t="shared" si="468"/>
        <v>100</v>
      </c>
      <c r="J3652" s="695">
        <f t="shared" si="466"/>
        <v>19</v>
      </c>
      <c r="K3652" s="650">
        <f t="shared" si="467"/>
        <v>0.19</v>
      </c>
    </row>
    <row r="3653" spans="1:11" ht="24.95" customHeight="1">
      <c r="A3653" s="1376" t="s">
        <v>2963</v>
      </c>
      <c r="B3653" s="1220" t="s">
        <v>2964</v>
      </c>
      <c r="C3653" s="1226"/>
      <c r="D3653" s="1226"/>
      <c r="E3653" s="1278"/>
      <c r="F3653" s="1226">
        <v>2</v>
      </c>
      <c r="G3653" s="1226"/>
      <c r="H3653" s="1420">
        <f t="shared" si="465"/>
        <v>0</v>
      </c>
      <c r="I3653" s="1375">
        <f t="shared" si="468"/>
        <v>2</v>
      </c>
      <c r="J3653" s="695">
        <f t="shared" si="466"/>
        <v>0</v>
      </c>
      <c r="K3653" s="650">
        <f t="shared" si="467"/>
        <v>0</v>
      </c>
    </row>
    <row r="3654" spans="1:11" ht="24.95" customHeight="1">
      <c r="A3654" s="1376" t="s">
        <v>6299</v>
      </c>
      <c r="B3654" s="1220" t="s">
        <v>2965</v>
      </c>
      <c r="C3654" s="1226"/>
      <c r="D3654" s="1226"/>
      <c r="E3654" s="1278"/>
      <c r="F3654" s="1226">
        <v>50</v>
      </c>
      <c r="G3654" s="1226">
        <v>32</v>
      </c>
      <c r="H3654" s="1420">
        <f t="shared" si="465"/>
        <v>0.64</v>
      </c>
      <c r="I3654" s="1375">
        <f t="shared" si="468"/>
        <v>50</v>
      </c>
      <c r="J3654" s="695">
        <f t="shared" si="466"/>
        <v>32</v>
      </c>
      <c r="K3654" s="650">
        <f t="shared" si="467"/>
        <v>0.64</v>
      </c>
    </row>
    <row r="3655" spans="1:11" ht="24.95" customHeight="1">
      <c r="A3655" s="1376" t="s">
        <v>2635</v>
      </c>
      <c r="B3655" s="1236" t="s">
        <v>6268</v>
      </c>
      <c r="C3655" s="1226"/>
      <c r="D3655" s="1226"/>
      <c r="E3655" s="1278"/>
      <c r="F3655" s="1226">
        <v>2</v>
      </c>
      <c r="G3655" s="1226"/>
      <c r="H3655" s="1420">
        <f t="shared" si="465"/>
        <v>0</v>
      </c>
      <c r="I3655" s="1375">
        <f t="shared" si="468"/>
        <v>2</v>
      </c>
      <c r="J3655" s="695">
        <f t="shared" si="466"/>
        <v>0</v>
      </c>
      <c r="K3655" s="650">
        <f t="shared" si="467"/>
        <v>0</v>
      </c>
    </row>
    <row r="3656" spans="1:11" ht="24.95" customHeight="1">
      <c r="A3656" s="1376" t="s">
        <v>2967</v>
      </c>
      <c r="B3656" s="1236" t="s">
        <v>2968</v>
      </c>
      <c r="C3656" s="1226"/>
      <c r="D3656" s="1226"/>
      <c r="E3656" s="1278"/>
      <c r="F3656" s="1226">
        <v>2</v>
      </c>
      <c r="G3656" s="1226"/>
      <c r="H3656" s="1420">
        <f t="shared" si="465"/>
        <v>0</v>
      </c>
      <c r="I3656" s="1375">
        <f t="shared" si="468"/>
        <v>2</v>
      </c>
      <c r="J3656" s="695">
        <f t="shared" si="466"/>
        <v>0</v>
      </c>
      <c r="K3656" s="650">
        <f t="shared" si="467"/>
        <v>0</v>
      </c>
    </row>
    <row r="3657" spans="1:11" ht="24.95" customHeight="1">
      <c r="A3657" s="1376" t="s">
        <v>6269</v>
      </c>
      <c r="B3657" s="1236" t="s">
        <v>6270</v>
      </c>
      <c r="C3657" s="1226"/>
      <c r="D3657" s="1226"/>
      <c r="E3657" s="1278"/>
      <c r="F3657" s="1226">
        <v>2</v>
      </c>
      <c r="G3657" s="1226"/>
      <c r="H3657" s="1420">
        <f t="shared" si="465"/>
        <v>0</v>
      </c>
      <c r="I3657" s="1375">
        <f t="shared" si="468"/>
        <v>2</v>
      </c>
      <c r="J3657" s="695">
        <f t="shared" si="466"/>
        <v>0</v>
      </c>
      <c r="K3657" s="650">
        <f t="shared" si="467"/>
        <v>0</v>
      </c>
    </row>
    <row r="3658" spans="1:11" ht="24.95" customHeight="1">
      <c r="A3658" s="1235" t="s">
        <v>2637</v>
      </c>
      <c r="B3658" s="1236" t="s">
        <v>2638</v>
      </c>
      <c r="C3658" s="1226"/>
      <c r="D3658" s="1226"/>
      <c r="E3658" s="1278"/>
      <c r="F3658" s="1226">
        <v>2</v>
      </c>
      <c r="G3658" s="1226"/>
      <c r="H3658" s="1420">
        <f t="shared" si="465"/>
        <v>0</v>
      </c>
      <c r="I3658" s="1375">
        <f t="shared" si="468"/>
        <v>2</v>
      </c>
      <c r="J3658" s="695">
        <f t="shared" si="466"/>
        <v>0</v>
      </c>
      <c r="K3658" s="650">
        <f t="shared" si="467"/>
        <v>0</v>
      </c>
    </row>
    <row r="3659" spans="1:11" ht="24.95" customHeight="1">
      <c r="A3659" s="1235" t="s">
        <v>6271</v>
      </c>
      <c r="B3659" s="1236" t="s">
        <v>6272</v>
      </c>
      <c r="C3659" s="1226"/>
      <c r="D3659" s="1226"/>
      <c r="E3659" s="1278"/>
      <c r="F3659" s="1226">
        <v>2</v>
      </c>
      <c r="G3659" s="1226"/>
      <c r="H3659" s="1420">
        <f t="shared" si="465"/>
        <v>0</v>
      </c>
      <c r="I3659" s="1375">
        <f t="shared" si="468"/>
        <v>2</v>
      </c>
      <c r="J3659" s="695">
        <f t="shared" si="466"/>
        <v>0</v>
      </c>
      <c r="K3659" s="650">
        <f t="shared" si="467"/>
        <v>0</v>
      </c>
    </row>
    <row r="3660" spans="1:11" ht="24.95" customHeight="1">
      <c r="A3660" s="1235" t="s">
        <v>6273</v>
      </c>
      <c r="B3660" s="1236" t="s">
        <v>6274</v>
      </c>
      <c r="C3660" s="1226"/>
      <c r="D3660" s="1226"/>
      <c r="E3660" s="1278"/>
      <c r="F3660" s="1226">
        <v>2</v>
      </c>
      <c r="G3660" s="1226"/>
      <c r="H3660" s="1420">
        <f t="shared" si="465"/>
        <v>0</v>
      </c>
      <c r="I3660" s="1375">
        <f t="shared" si="468"/>
        <v>2</v>
      </c>
      <c r="J3660" s="695">
        <f t="shared" si="466"/>
        <v>0</v>
      </c>
      <c r="K3660" s="650">
        <f t="shared" si="467"/>
        <v>0</v>
      </c>
    </row>
    <row r="3661" spans="1:11" ht="24.95" customHeight="1">
      <c r="A3661" s="1235" t="s">
        <v>2639</v>
      </c>
      <c r="B3661" s="1236" t="s">
        <v>2640</v>
      </c>
      <c r="C3661" s="1226"/>
      <c r="D3661" s="1226"/>
      <c r="E3661" s="1278"/>
      <c r="F3661" s="1226">
        <v>2</v>
      </c>
      <c r="G3661" s="1226"/>
      <c r="H3661" s="1420">
        <f t="shared" si="465"/>
        <v>0</v>
      </c>
      <c r="I3661" s="1375">
        <f t="shared" si="468"/>
        <v>2</v>
      </c>
      <c r="J3661" s="695">
        <f t="shared" si="466"/>
        <v>0</v>
      </c>
      <c r="K3661" s="650">
        <f t="shared" si="467"/>
        <v>0</v>
      </c>
    </row>
    <row r="3662" spans="1:11" ht="24.95" customHeight="1">
      <c r="A3662" s="1235" t="s">
        <v>2657</v>
      </c>
      <c r="B3662" s="1236" t="s">
        <v>6280</v>
      </c>
      <c r="C3662" s="1226"/>
      <c r="D3662" s="1226"/>
      <c r="E3662" s="1278"/>
      <c r="F3662" s="1226">
        <v>2</v>
      </c>
      <c r="G3662" s="1226"/>
      <c r="H3662" s="1420">
        <f t="shared" si="465"/>
        <v>0</v>
      </c>
      <c r="I3662" s="1375">
        <f t="shared" si="468"/>
        <v>2</v>
      </c>
      <c r="J3662" s="695">
        <f t="shared" si="466"/>
        <v>0</v>
      </c>
      <c r="K3662" s="650">
        <f t="shared" si="467"/>
        <v>0</v>
      </c>
    </row>
    <row r="3663" spans="1:11" ht="24.95" customHeight="1">
      <c r="A3663" s="1376" t="s">
        <v>2554</v>
      </c>
      <c r="B3663" s="1220" t="s">
        <v>2555</v>
      </c>
      <c r="C3663" s="1226"/>
      <c r="D3663" s="1226"/>
      <c r="E3663" s="1278"/>
      <c r="F3663" s="1226">
        <v>2</v>
      </c>
      <c r="G3663" s="1226"/>
      <c r="H3663" s="1420">
        <f t="shared" si="465"/>
        <v>0</v>
      </c>
      <c r="I3663" s="1375">
        <f t="shared" si="468"/>
        <v>2</v>
      </c>
      <c r="J3663" s="695">
        <f t="shared" si="466"/>
        <v>0</v>
      </c>
      <c r="K3663" s="650">
        <f t="shared" si="467"/>
        <v>0</v>
      </c>
    </row>
    <row r="3664" spans="1:11" ht="24.95" customHeight="1">
      <c r="A3664" s="1376" t="s">
        <v>2645</v>
      </c>
      <c r="B3664" s="1220" t="s">
        <v>2646</v>
      </c>
      <c r="C3664" s="1226"/>
      <c r="D3664" s="1226"/>
      <c r="E3664" s="1278"/>
      <c r="F3664" s="1226">
        <v>1</v>
      </c>
      <c r="G3664" s="1226"/>
      <c r="H3664" s="1420">
        <f t="shared" si="465"/>
        <v>0</v>
      </c>
      <c r="I3664" s="1375">
        <f t="shared" si="468"/>
        <v>1</v>
      </c>
      <c r="J3664" s="695">
        <f t="shared" si="466"/>
        <v>0</v>
      </c>
      <c r="K3664" s="650">
        <f t="shared" si="467"/>
        <v>0</v>
      </c>
    </row>
    <row r="3665" spans="1:11" ht="24.95" customHeight="1">
      <c r="A3665" s="1376" t="s">
        <v>2649</v>
      </c>
      <c r="B3665" s="1220" t="s">
        <v>2650</v>
      </c>
      <c r="C3665" s="1226"/>
      <c r="D3665" s="1226"/>
      <c r="E3665" s="1278"/>
      <c r="F3665" s="1226">
        <v>1</v>
      </c>
      <c r="G3665" s="1226"/>
      <c r="H3665" s="1420">
        <f t="shared" si="465"/>
        <v>0</v>
      </c>
      <c r="I3665" s="1375">
        <f t="shared" si="468"/>
        <v>1</v>
      </c>
      <c r="J3665" s="695">
        <f t="shared" si="466"/>
        <v>0</v>
      </c>
      <c r="K3665" s="650">
        <f t="shared" si="467"/>
        <v>0</v>
      </c>
    </row>
    <row r="3666" spans="1:11" ht="24.95" customHeight="1">
      <c r="A3666" s="1376" t="s">
        <v>2667</v>
      </c>
      <c r="B3666" s="1220" t="s">
        <v>6287</v>
      </c>
      <c r="C3666" s="1226"/>
      <c r="D3666" s="1226"/>
      <c r="E3666" s="1278"/>
      <c r="F3666" s="1226">
        <v>1</v>
      </c>
      <c r="G3666" s="1226"/>
      <c r="H3666" s="1420">
        <f t="shared" si="465"/>
        <v>0</v>
      </c>
      <c r="I3666" s="1375">
        <f t="shared" si="468"/>
        <v>1</v>
      </c>
      <c r="J3666" s="695">
        <f t="shared" si="466"/>
        <v>0</v>
      </c>
      <c r="K3666" s="650">
        <f t="shared" si="467"/>
        <v>0</v>
      </c>
    </row>
    <row r="3667" spans="1:11" ht="24.95" customHeight="1">
      <c r="A3667" s="1210"/>
      <c r="B3667" s="1331" t="s">
        <v>3157</v>
      </c>
      <c r="C3667" s="1422">
        <f t="shared" ref="C3667:J3667" si="469">SUM(C3613:C3666)</f>
        <v>0</v>
      </c>
      <c r="D3667" s="1422">
        <f t="shared" si="469"/>
        <v>0</v>
      </c>
      <c r="E3667" s="1423"/>
      <c r="F3667" s="1422">
        <f t="shared" si="469"/>
        <v>1073</v>
      </c>
      <c r="G3667" s="1422">
        <f t="shared" si="469"/>
        <v>239</v>
      </c>
      <c r="H3667" s="1420">
        <f t="shared" si="465"/>
        <v>0.22273998136067102</v>
      </c>
      <c r="I3667" s="1424">
        <f t="shared" si="469"/>
        <v>1072</v>
      </c>
      <c r="J3667" s="1424">
        <f t="shared" si="469"/>
        <v>239</v>
      </c>
      <c r="K3667" s="650">
        <f t="shared" si="467"/>
        <v>0.22294776119402984</v>
      </c>
    </row>
    <row r="3668" spans="1:11" ht="24.95" customHeight="1">
      <c r="A3668" s="1210"/>
      <c r="B3668" s="1331" t="s">
        <v>3113</v>
      </c>
      <c r="C3668" s="1422">
        <f t="shared" ref="C3668:J3668" si="470">+C3611</f>
        <v>22552</v>
      </c>
      <c r="D3668" s="1422">
        <f t="shared" si="470"/>
        <v>10060</v>
      </c>
      <c r="E3668" s="1423"/>
      <c r="F3668" s="1422">
        <f t="shared" si="470"/>
        <v>109027</v>
      </c>
      <c r="G3668" s="1422">
        <f t="shared" si="470"/>
        <v>56425</v>
      </c>
      <c r="H3668" s="1420">
        <f t="shared" si="465"/>
        <v>0.51753235437093559</v>
      </c>
      <c r="I3668" s="1424">
        <f t="shared" si="470"/>
        <v>131305</v>
      </c>
      <c r="J3668" s="1424">
        <f t="shared" si="470"/>
        <v>66485</v>
      </c>
      <c r="K3668" s="650">
        <f t="shared" si="467"/>
        <v>0.50634020029701843</v>
      </c>
    </row>
    <row r="3669" spans="1:11" ht="24.95" customHeight="1">
      <c r="A3669" s="1210"/>
      <c r="B3669" s="1256" t="s">
        <v>4440</v>
      </c>
      <c r="C3669" s="1422">
        <f t="shared" ref="C3669:J3669" si="471">+C3357</f>
        <v>258</v>
      </c>
      <c r="D3669" s="1422">
        <f t="shared" si="471"/>
        <v>40</v>
      </c>
      <c r="E3669" s="1423"/>
      <c r="F3669" s="1422">
        <f t="shared" si="471"/>
        <v>3106</v>
      </c>
      <c r="G3669" s="1422">
        <f t="shared" si="471"/>
        <v>1213</v>
      </c>
      <c r="H3669" s="1420">
        <f t="shared" si="465"/>
        <v>0.39053444945267224</v>
      </c>
      <c r="I3669" s="1424">
        <f t="shared" si="471"/>
        <v>3309</v>
      </c>
      <c r="J3669" s="1424">
        <f t="shared" si="471"/>
        <v>1248</v>
      </c>
      <c r="K3669" s="650">
        <f t="shared" si="467"/>
        <v>0.3771532184950136</v>
      </c>
    </row>
    <row r="3670" spans="1:11" ht="24.95" customHeight="1">
      <c r="A3670" s="1210"/>
      <c r="B3670" s="1331" t="s">
        <v>4441</v>
      </c>
      <c r="C3670" s="1422">
        <f t="shared" ref="C3670:J3670" si="472">+C3667+C3668+C3669</f>
        <v>22810</v>
      </c>
      <c r="D3670" s="1422">
        <f t="shared" si="472"/>
        <v>10100</v>
      </c>
      <c r="E3670" s="1423"/>
      <c r="F3670" s="1422">
        <f t="shared" si="472"/>
        <v>113206</v>
      </c>
      <c r="G3670" s="1422">
        <f t="shared" si="472"/>
        <v>57877</v>
      </c>
      <c r="H3670" s="1420">
        <f t="shared" si="465"/>
        <v>0.51125382046887979</v>
      </c>
      <c r="I3670" s="1424">
        <f t="shared" si="472"/>
        <v>135686</v>
      </c>
      <c r="J3670" s="1424">
        <f t="shared" si="472"/>
        <v>67972</v>
      </c>
      <c r="K3670" s="650">
        <f t="shared" si="467"/>
        <v>0.50095072446678357</v>
      </c>
    </row>
    <row r="3671" spans="1:11" ht="24.95" customHeight="1">
      <c r="A3671" s="1317" t="s">
        <v>149</v>
      </c>
      <c r="B3671" s="1317"/>
      <c r="C3671" s="1317"/>
      <c r="D3671" s="1317"/>
      <c r="E3671" s="1318"/>
      <c r="F3671" s="1317"/>
      <c r="G3671" s="1317"/>
      <c r="H3671" s="1318"/>
      <c r="I3671" s="1425"/>
      <c r="K3671" s="643"/>
    </row>
    <row r="3672" spans="1:11" ht="24.95" customHeight="1">
      <c r="A3672" s="1426"/>
      <c r="B3672" s="1427" t="s">
        <v>208</v>
      </c>
      <c r="C3672" s="1987" t="s">
        <v>1852</v>
      </c>
      <c r="D3672" s="1988"/>
      <c r="E3672" s="1988"/>
      <c r="F3672" s="1988"/>
      <c r="G3672" s="1988"/>
      <c r="H3672" s="1988"/>
      <c r="I3672" s="1988"/>
      <c r="J3672" s="1988"/>
      <c r="K3672" s="1988"/>
    </row>
    <row r="3673" spans="1:11" ht="24.95" customHeight="1">
      <c r="A3673" s="1428"/>
      <c r="B3673" s="1429" t="s">
        <v>209</v>
      </c>
      <c r="C3673" s="1989">
        <v>17878735</v>
      </c>
      <c r="D3673" s="1990"/>
      <c r="E3673" s="1990"/>
      <c r="F3673" s="1990"/>
      <c r="G3673" s="1990"/>
      <c r="H3673" s="1990"/>
      <c r="I3673" s="1990"/>
      <c r="J3673" s="1990"/>
      <c r="K3673" s="1990"/>
    </row>
    <row r="3674" spans="1:11" ht="24.95" customHeight="1">
      <c r="A3674" s="1428"/>
      <c r="B3674" s="1429" t="s">
        <v>211</v>
      </c>
      <c r="C3674" s="1991" t="s">
        <v>2037</v>
      </c>
      <c r="D3674" s="1988"/>
      <c r="E3674" s="1988"/>
      <c r="F3674" s="1988"/>
      <c r="G3674" s="1988"/>
      <c r="H3674" s="1988"/>
      <c r="I3674" s="1988"/>
      <c r="J3674" s="1988"/>
      <c r="K3674" s="1988"/>
    </row>
    <row r="3675" spans="1:11" ht="24.95" customHeight="1">
      <c r="A3675" s="1428"/>
      <c r="B3675" s="1429" t="s">
        <v>210</v>
      </c>
      <c r="C3675" s="1992" t="s">
        <v>331</v>
      </c>
      <c r="D3675" s="1993"/>
      <c r="E3675" s="1993"/>
      <c r="F3675" s="1993"/>
      <c r="G3675" s="1993"/>
      <c r="H3675" s="1993"/>
      <c r="I3675" s="1993"/>
      <c r="J3675" s="1993"/>
      <c r="K3675" s="1993"/>
    </row>
    <row r="3676" spans="1:11" ht="24.95" customHeight="1">
      <c r="A3676" s="1428"/>
      <c r="B3676" s="1429" t="s">
        <v>251</v>
      </c>
      <c r="C3676" s="1994" t="s">
        <v>1942</v>
      </c>
      <c r="D3676" s="1995"/>
      <c r="E3676" s="1995"/>
      <c r="F3676" s="1995"/>
      <c r="G3676" s="1995"/>
      <c r="H3676" s="1995"/>
      <c r="I3676" s="1995"/>
      <c r="J3676" s="1995"/>
      <c r="K3676" s="1995"/>
    </row>
    <row r="3677" spans="1:11" ht="24.95" customHeight="1">
      <c r="A3677" s="1955" t="s">
        <v>122</v>
      </c>
      <c r="B3677" s="1955" t="s">
        <v>253</v>
      </c>
      <c r="C3677" s="1935" t="s">
        <v>2038</v>
      </c>
      <c r="D3677" s="1935"/>
      <c r="E3677" s="1935"/>
      <c r="F3677" s="1935" t="s">
        <v>2039</v>
      </c>
      <c r="G3677" s="1935"/>
      <c r="H3677" s="1935"/>
      <c r="I3677" s="1935" t="s">
        <v>90</v>
      </c>
      <c r="J3677" s="1935"/>
      <c r="K3677" s="1935"/>
    </row>
    <row r="3678" spans="1:11" ht="24.95" customHeight="1">
      <c r="A3678" s="1955"/>
      <c r="B3678" s="1955"/>
      <c r="C3678" s="545" t="s">
        <v>368</v>
      </c>
      <c r="D3678" s="547" t="s">
        <v>2040</v>
      </c>
      <c r="E3678" s="546" t="s">
        <v>2041</v>
      </c>
      <c r="F3678" s="545" t="s">
        <v>368</v>
      </c>
      <c r="G3678" s="547" t="s">
        <v>2040</v>
      </c>
      <c r="H3678" s="546" t="s">
        <v>2041</v>
      </c>
      <c r="I3678" s="545" t="s">
        <v>368</v>
      </c>
      <c r="J3678" s="547" t="s">
        <v>2040</v>
      </c>
      <c r="K3678" s="546" t="s">
        <v>2041</v>
      </c>
    </row>
    <row r="3679" spans="1:11" ht="24.95" customHeight="1">
      <c r="A3679" s="1982" t="s">
        <v>2372</v>
      </c>
      <c r="B3679" s="1983"/>
      <c r="C3679" s="1983"/>
      <c r="D3679" s="1983"/>
      <c r="E3679" s="1983"/>
      <c r="F3679" s="1983"/>
      <c r="G3679" s="1983"/>
      <c r="H3679" s="1983"/>
      <c r="I3679" s="1983"/>
      <c r="J3679" s="1983"/>
      <c r="K3679" s="1984"/>
    </row>
    <row r="3680" spans="1:11" ht="24.95" customHeight="1">
      <c r="A3680" s="1370" t="s">
        <v>3013</v>
      </c>
      <c r="B3680" s="1256" t="s">
        <v>2388</v>
      </c>
      <c r="C3680" s="1430">
        <v>10</v>
      </c>
      <c r="D3680" s="1430">
        <v>25</v>
      </c>
      <c r="E3680" s="1258">
        <f>+D3680/C3680</f>
        <v>2.5</v>
      </c>
      <c r="F3680" s="1430"/>
      <c r="G3680" s="1430"/>
      <c r="H3680" s="1258"/>
      <c r="I3680" s="1257">
        <f>+C3680+F3680</f>
        <v>10</v>
      </c>
      <c r="J3680" s="149">
        <f>+D3680</f>
        <v>25</v>
      </c>
      <c r="K3680" s="650">
        <f>+J3680/I3680</f>
        <v>2.5</v>
      </c>
    </row>
    <row r="3681" spans="1:11" ht="24.95" customHeight="1">
      <c r="A3681" s="1370" t="s">
        <v>2792</v>
      </c>
      <c r="B3681" s="1256" t="s">
        <v>2402</v>
      </c>
      <c r="C3681" s="1430"/>
      <c r="D3681" s="1430"/>
      <c r="E3681" s="1258" t="e">
        <f t="shared" ref="E3681:E3719" si="473">+D3681/C3681</f>
        <v>#DIV/0!</v>
      </c>
      <c r="F3681" s="1430"/>
      <c r="G3681" s="1430"/>
      <c r="H3681" s="1258"/>
      <c r="I3681" s="1257">
        <f>+C3681+F3681</f>
        <v>0</v>
      </c>
      <c r="J3681" s="149">
        <f t="shared" ref="J3681:J3719" si="474">+D3681</f>
        <v>0</v>
      </c>
      <c r="K3681" s="650" t="e">
        <f t="shared" ref="K3681:K3719" si="475">+J3681/I3681</f>
        <v>#DIV/0!</v>
      </c>
    </row>
    <row r="3682" spans="1:11" ht="24.95" customHeight="1">
      <c r="A3682" s="1370">
        <v>130207</v>
      </c>
      <c r="B3682" s="1256" t="s">
        <v>2390</v>
      </c>
      <c r="C3682" s="1430">
        <v>20</v>
      </c>
      <c r="D3682" s="1430">
        <v>5</v>
      </c>
      <c r="E3682" s="1258">
        <f t="shared" si="473"/>
        <v>0.25</v>
      </c>
      <c r="F3682" s="1430"/>
      <c r="G3682" s="1430"/>
      <c r="H3682" s="1258"/>
      <c r="I3682" s="1257"/>
      <c r="J3682" s="149">
        <f t="shared" si="474"/>
        <v>5</v>
      </c>
      <c r="K3682" s="650" t="e">
        <f t="shared" si="475"/>
        <v>#DIV/0!</v>
      </c>
    </row>
    <row r="3683" spans="1:11" ht="24.95" customHeight="1">
      <c r="A3683" s="1431" t="s">
        <v>3551</v>
      </c>
      <c r="B3683" s="1432" t="s">
        <v>5230</v>
      </c>
      <c r="C3683" s="1374">
        <v>170</v>
      </c>
      <c r="D3683" s="1374">
        <v>55</v>
      </c>
      <c r="E3683" s="1258">
        <f t="shared" si="473"/>
        <v>0.3235294117647059</v>
      </c>
      <c r="F3683" s="1374"/>
      <c r="G3683" s="1374"/>
      <c r="H3683" s="1406"/>
      <c r="I3683" s="1257">
        <f t="shared" ref="I3683:I3696" si="476">+C3683+F3683</f>
        <v>170</v>
      </c>
      <c r="J3683" s="149">
        <f t="shared" si="474"/>
        <v>55</v>
      </c>
      <c r="K3683" s="650">
        <f t="shared" si="475"/>
        <v>0.3235294117647059</v>
      </c>
    </row>
    <row r="3684" spans="1:11" ht="24.95" customHeight="1">
      <c r="A3684" s="1433" t="s">
        <v>2417</v>
      </c>
      <c r="B3684" s="1187" t="s">
        <v>2418</v>
      </c>
      <c r="C3684" s="1374"/>
      <c r="D3684" s="1374"/>
      <c r="E3684" s="1258" t="e">
        <f t="shared" si="473"/>
        <v>#DIV/0!</v>
      </c>
      <c r="F3684" s="1374"/>
      <c r="G3684" s="1374"/>
      <c r="H3684" s="1406"/>
      <c r="I3684" s="1257">
        <f t="shared" si="476"/>
        <v>0</v>
      </c>
      <c r="J3684" s="149">
        <f t="shared" si="474"/>
        <v>0</v>
      </c>
      <c r="K3684" s="650" t="e">
        <f t="shared" si="475"/>
        <v>#DIV/0!</v>
      </c>
    </row>
    <row r="3685" spans="1:11" ht="24.95" customHeight="1">
      <c r="A3685" s="1433" t="s">
        <v>2829</v>
      </c>
      <c r="B3685" s="1187" t="s">
        <v>2830</v>
      </c>
      <c r="C3685" s="1374">
        <v>600</v>
      </c>
      <c r="D3685" s="1374">
        <v>256</v>
      </c>
      <c r="E3685" s="1258">
        <f t="shared" si="473"/>
        <v>0.42666666666666669</v>
      </c>
      <c r="F3685" s="1374"/>
      <c r="G3685" s="1374"/>
      <c r="H3685" s="1406"/>
      <c r="I3685" s="1257">
        <f t="shared" si="476"/>
        <v>600</v>
      </c>
      <c r="J3685" s="149">
        <f t="shared" si="474"/>
        <v>256</v>
      </c>
      <c r="K3685" s="650">
        <f t="shared" si="475"/>
        <v>0.42666666666666669</v>
      </c>
    </row>
    <row r="3686" spans="1:11" ht="24.95" customHeight="1">
      <c r="A3686" s="801" t="s">
        <v>6300</v>
      </c>
      <c r="B3686" s="802" t="s">
        <v>6301</v>
      </c>
      <c r="C3686" s="1374">
        <v>55</v>
      </c>
      <c r="D3686" s="1374">
        <v>20</v>
      </c>
      <c r="E3686" s="1258">
        <f t="shared" si="473"/>
        <v>0.36363636363636365</v>
      </c>
      <c r="F3686" s="1374"/>
      <c r="G3686" s="1374"/>
      <c r="H3686" s="1406"/>
      <c r="I3686" s="1257">
        <f t="shared" si="476"/>
        <v>55</v>
      </c>
      <c r="J3686" s="149">
        <f t="shared" si="474"/>
        <v>20</v>
      </c>
      <c r="K3686" s="650">
        <f t="shared" si="475"/>
        <v>0.36363636363636365</v>
      </c>
    </row>
    <row r="3687" spans="1:11" ht="24.95" customHeight="1">
      <c r="A3687" s="801" t="s">
        <v>155</v>
      </c>
      <c r="B3687" s="802" t="s">
        <v>2845</v>
      </c>
      <c r="C3687" s="1374">
        <v>3</v>
      </c>
      <c r="D3687" s="1374"/>
      <c r="E3687" s="1258">
        <f t="shared" si="473"/>
        <v>0</v>
      </c>
      <c r="F3687" s="1374"/>
      <c r="G3687" s="1374"/>
      <c r="H3687" s="1406"/>
      <c r="I3687" s="1257">
        <f t="shared" si="476"/>
        <v>3</v>
      </c>
      <c r="J3687" s="149">
        <f t="shared" si="474"/>
        <v>0</v>
      </c>
      <c r="K3687" s="650">
        <f t="shared" si="475"/>
        <v>0</v>
      </c>
    </row>
    <row r="3688" spans="1:11" ht="24.95" customHeight="1">
      <c r="A3688" s="801" t="s">
        <v>3841</v>
      </c>
      <c r="B3688" s="802" t="s">
        <v>3842</v>
      </c>
      <c r="C3688" s="1374"/>
      <c r="D3688" s="1374"/>
      <c r="E3688" s="1258" t="e">
        <f t="shared" si="473"/>
        <v>#DIV/0!</v>
      </c>
      <c r="F3688" s="1374"/>
      <c r="G3688" s="1374"/>
      <c r="H3688" s="1406"/>
      <c r="I3688" s="1257">
        <f t="shared" si="476"/>
        <v>0</v>
      </c>
      <c r="J3688" s="149">
        <f t="shared" si="474"/>
        <v>0</v>
      </c>
      <c r="K3688" s="650" t="e">
        <f t="shared" si="475"/>
        <v>#DIV/0!</v>
      </c>
    </row>
    <row r="3689" spans="1:11" ht="24.95" customHeight="1">
      <c r="A3689" s="801" t="s">
        <v>6233</v>
      </c>
      <c r="B3689" s="802" t="s">
        <v>6234</v>
      </c>
      <c r="C3689" s="1374">
        <v>900</v>
      </c>
      <c r="D3689" s="1374">
        <v>404</v>
      </c>
      <c r="E3689" s="1258">
        <f t="shared" si="473"/>
        <v>0.44888888888888889</v>
      </c>
      <c r="F3689" s="1374"/>
      <c r="G3689" s="1374"/>
      <c r="H3689" s="1406"/>
      <c r="I3689" s="1257">
        <f t="shared" si="476"/>
        <v>900</v>
      </c>
      <c r="J3689" s="149">
        <f t="shared" si="474"/>
        <v>404</v>
      </c>
      <c r="K3689" s="650">
        <f t="shared" si="475"/>
        <v>0.44888888888888889</v>
      </c>
    </row>
    <row r="3690" spans="1:11" ht="24.95" customHeight="1">
      <c r="A3690" s="801" t="s">
        <v>6302</v>
      </c>
      <c r="B3690" s="802" t="s">
        <v>6303</v>
      </c>
      <c r="C3690" s="1374">
        <v>40</v>
      </c>
      <c r="D3690" s="1374">
        <v>1</v>
      </c>
      <c r="E3690" s="1258">
        <f t="shared" si="473"/>
        <v>2.5000000000000001E-2</v>
      </c>
      <c r="F3690" s="1374"/>
      <c r="G3690" s="1374"/>
      <c r="H3690" s="1406"/>
      <c r="I3690" s="1257">
        <f t="shared" si="476"/>
        <v>40</v>
      </c>
      <c r="J3690" s="149">
        <f t="shared" si="474"/>
        <v>1</v>
      </c>
      <c r="K3690" s="650">
        <f t="shared" si="475"/>
        <v>2.5000000000000001E-2</v>
      </c>
    </row>
    <row r="3691" spans="1:11" ht="24.95" customHeight="1">
      <c r="A3691" s="801" t="s">
        <v>6304</v>
      </c>
      <c r="B3691" s="802" t="s">
        <v>6305</v>
      </c>
      <c r="C3691" s="1374">
        <v>200</v>
      </c>
      <c r="D3691" s="1374">
        <v>126</v>
      </c>
      <c r="E3691" s="1258">
        <f t="shared" si="473"/>
        <v>0.63</v>
      </c>
      <c r="F3691" s="1374"/>
      <c r="G3691" s="1374"/>
      <c r="H3691" s="1406"/>
      <c r="I3691" s="1257">
        <f t="shared" si="476"/>
        <v>200</v>
      </c>
      <c r="J3691" s="149">
        <f t="shared" si="474"/>
        <v>126</v>
      </c>
      <c r="K3691" s="650">
        <f t="shared" si="475"/>
        <v>0.63</v>
      </c>
    </row>
    <row r="3692" spans="1:11" ht="24.95" customHeight="1">
      <c r="A3692" s="801" t="s">
        <v>3039</v>
      </c>
      <c r="B3692" s="802" t="s">
        <v>3803</v>
      </c>
      <c r="C3692" s="1374">
        <v>1</v>
      </c>
      <c r="D3692" s="1374"/>
      <c r="E3692" s="1258">
        <f t="shared" si="473"/>
        <v>0</v>
      </c>
      <c r="F3692" s="1374"/>
      <c r="G3692" s="1374"/>
      <c r="H3692" s="1406"/>
      <c r="I3692" s="1257">
        <f t="shared" si="476"/>
        <v>1</v>
      </c>
      <c r="J3692" s="149">
        <f t="shared" si="474"/>
        <v>0</v>
      </c>
      <c r="K3692" s="650">
        <f t="shared" si="475"/>
        <v>0</v>
      </c>
    </row>
    <row r="3693" spans="1:11" ht="24.95" customHeight="1">
      <c r="A3693" s="801" t="s">
        <v>2911</v>
      </c>
      <c r="B3693" s="802" t="s">
        <v>3106</v>
      </c>
      <c r="C3693" s="1374">
        <v>150</v>
      </c>
      <c r="D3693" s="1374">
        <v>27</v>
      </c>
      <c r="E3693" s="1258">
        <f t="shared" si="473"/>
        <v>0.18</v>
      </c>
      <c r="F3693" s="1374"/>
      <c r="G3693" s="1374"/>
      <c r="H3693" s="1406"/>
      <c r="I3693" s="1257">
        <f t="shared" si="476"/>
        <v>150</v>
      </c>
      <c r="J3693" s="149">
        <f t="shared" si="474"/>
        <v>27</v>
      </c>
      <c r="K3693" s="650">
        <f t="shared" si="475"/>
        <v>0.18</v>
      </c>
    </row>
    <row r="3694" spans="1:11" ht="24.95" customHeight="1">
      <c r="A3694" s="801" t="s">
        <v>2915</v>
      </c>
      <c r="B3694" s="802" t="s">
        <v>6306</v>
      </c>
      <c r="C3694" s="1374">
        <v>5</v>
      </c>
      <c r="D3694" s="1374">
        <v>5</v>
      </c>
      <c r="E3694" s="1258">
        <f t="shared" si="473"/>
        <v>1</v>
      </c>
      <c r="F3694" s="1374"/>
      <c r="G3694" s="1374"/>
      <c r="H3694" s="1406"/>
      <c r="I3694" s="1257">
        <f t="shared" si="476"/>
        <v>5</v>
      </c>
      <c r="J3694" s="149">
        <f t="shared" si="474"/>
        <v>5</v>
      </c>
      <c r="K3694" s="650">
        <f t="shared" si="475"/>
        <v>1</v>
      </c>
    </row>
    <row r="3695" spans="1:11" ht="24.95" customHeight="1">
      <c r="A3695" s="801" t="s">
        <v>6307</v>
      </c>
      <c r="B3695" s="802" t="s">
        <v>6308</v>
      </c>
      <c r="C3695" s="1374">
        <v>1</v>
      </c>
      <c r="D3695" s="1374"/>
      <c r="E3695" s="1258">
        <f t="shared" si="473"/>
        <v>0</v>
      </c>
      <c r="F3695" s="1374"/>
      <c r="G3695" s="1374"/>
      <c r="H3695" s="1406"/>
      <c r="I3695" s="1257">
        <f t="shared" si="476"/>
        <v>1</v>
      </c>
      <c r="J3695" s="149">
        <f t="shared" si="474"/>
        <v>0</v>
      </c>
      <c r="K3695" s="650">
        <f t="shared" si="475"/>
        <v>0</v>
      </c>
    </row>
    <row r="3696" spans="1:11" ht="24.95" customHeight="1">
      <c r="A3696" s="801" t="s">
        <v>6309</v>
      </c>
      <c r="B3696" s="802" t="s">
        <v>6310</v>
      </c>
      <c r="C3696" s="1374">
        <v>3</v>
      </c>
      <c r="D3696" s="1374"/>
      <c r="E3696" s="1258">
        <f t="shared" si="473"/>
        <v>0</v>
      </c>
      <c r="F3696" s="1374"/>
      <c r="G3696" s="1374"/>
      <c r="H3696" s="1406"/>
      <c r="I3696" s="1257">
        <f t="shared" si="476"/>
        <v>3</v>
      </c>
      <c r="J3696" s="149">
        <f t="shared" si="474"/>
        <v>0</v>
      </c>
      <c r="K3696" s="650">
        <f t="shared" si="475"/>
        <v>0</v>
      </c>
    </row>
    <row r="3697" spans="1:11" ht="24.95" customHeight="1">
      <c r="A3697" s="801" t="s">
        <v>1933</v>
      </c>
      <c r="B3697" s="802" t="s">
        <v>2948</v>
      </c>
      <c r="C3697" s="1374"/>
      <c r="D3697" s="1374"/>
      <c r="E3697" s="1258" t="e">
        <f t="shared" si="473"/>
        <v>#DIV/0!</v>
      </c>
      <c r="F3697" s="1374"/>
      <c r="G3697" s="1374"/>
      <c r="H3697" s="1406"/>
      <c r="I3697" s="1257"/>
      <c r="J3697" s="149">
        <f t="shared" si="474"/>
        <v>0</v>
      </c>
      <c r="K3697" s="650" t="e">
        <f t="shared" si="475"/>
        <v>#DIV/0!</v>
      </c>
    </row>
    <row r="3698" spans="1:11" ht="24.95" customHeight="1">
      <c r="A3698" s="801" t="s">
        <v>3732</v>
      </c>
      <c r="B3698" s="802" t="s">
        <v>3733</v>
      </c>
      <c r="C3698" s="1374">
        <v>40</v>
      </c>
      <c r="D3698" s="1374">
        <v>4</v>
      </c>
      <c r="E3698" s="1258">
        <f t="shared" si="473"/>
        <v>0.1</v>
      </c>
      <c r="F3698" s="1374"/>
      <c r="G3698" s="1374"/>
      <c r="H3698" s="1406"/>
      <c r="I3698" s="1257">
        <f t="shared" ref="I3698:I3712" si="477">+C3698+F3698</f>
        <v>40</v>
      </c>
      <c r="J3698" s="149">
        <f t="shared" si="474"/>
        <v>4</v>
      </c>
      <c r="K3698" s="650">
        <f t="shared" si="475"/>
        <v>0.1</v>
      </c>
    </row>
    <row r="3699" spans="1:11" ht="24.95" customHeight="1">
      <c r="A3699" s="1434" t="s">
        <v>3814</v>
      </c>
      <c r="B3699" s="1435" t="s">
        <v>3815</v>
      </c>
      <c r="C3699" s="1374">
        <v>200</v>
      </c>
      <c r="D3699" s="1374">
        <v>133</v>
      </c>
      <c r="E3699" s="1258">
        <f t="shared" si="473"/>
        <v>0.66500000000000004</v>
      </c>
      <c r="F3699" s="1374"/>
      <c r="G3699" s="1374"/>
      <c r="H3699" s="1406"/>
      <c r="I3699" s="1257">
        <f t="shared" si="477"/>
        <v>200</v>
      </c>
      <c r="J3699" s="149">
        <f t="shared" si="474"/>
        <v>133</v>
      </c>
      <c r="K3699" s="650">
        <f t="shared" si="475"/>
        <v>0.66500000000000004</v>
      </c>
    </row>
    <row r="3700" spans="1:11" ht="24.95" customHeight="1">
      <c r="A3700" s="801" t="s">
        <v>5144</v>
      </c>
      <c r="B3700" s="802" t="s">
        <v>5145</v>
      </c>
      <c r="C3700" s="1374">
        <v>8700</v>
      </c>
      <c r="D3700" s="1374">
        <v>4037</v>
      </c>
      <c r="E3700" s="1258">
        <f t="shared" si="473"/>
        <v>0.46402298850574714</v>
      </c>
      <c r="F3700" s="1374"/>
      <c r="G3700" s="1374"/>
      <c r="H3700" s="1406"/>
      <c r="I3700" s="1257">
        <f t="shared" si="477"/>
        <v>8700</v>
      </c>
      <c r="J3700" s="149">
        <f t="shared" si="474"/>
        <v>4037</v>
      </c>
      <c r="K3700" s="650">
        <f t="shared" si="475"/>
        <v>0.46402298850574714</v>
      </c>
    </row>
    <row r="3701" spans="1:11" ht="24.95" customHeight="1">
      <c r="A3701" s="801" t="s">
        <v>3816</v>
      </c>
      <c r="B3701" s="802" t="s">
        <v>3817</v>
      </c>
      <c r="C3701" s="1374">
        <v>8700</v>
      </c>
      <c r="D3701" s="1374">
        <v>4037</v>
      </c>
      <c r="E3701" s="1258">
        <f t="shared" si="473"/>
        <v>0.46402298850574714</v>
      </c>
      <c r="F3701" s="1374"/>
      <c r="G3701" s="1374"/>
      <c r="H3701" s="1406"/>
      <c r="I3701" s="1257">
        <f t="shared" si="477"/>
        <v>8700</v>
      </c>
      <c r="J3701" s="149">
        <f t="shared" si="474"/>
        <v>4037</v>
      </c>
      <c r="K3701" s="650">
        <f t="shared" si="475"/>
        <v>0.46402298850574714</v>
      </c>
    </row>
    <row r="3702" spans="1:11" ht="24.95" customHeight="1">
      <c r="A3702" s="801" t="s">
        <v>2959</v>
      </c>
      <c r="B3702" s="802" t="s">
        <v>2960</v>
      </c>
      <c r="C3702" s="1374"/>
      <c r="D3702" s="1374"/>
      <c r="E3702" s="1258" t="e">
        <f t="shared" si="473"/>
        <v>#DIV/0!</v>
      </c>
      <c r="F3702" s="1374"/>
      <c r="G3702" s="1374"/>
      <c r="H3702" s="1406"/>
      <c r="I3702" s="1257">
        <f t="shared" si="477"/>
        <v>0</v>
      </c>
      <c r="J3702" s="149">
        <f t="shared" si="474"/>
        <v>0</v>
      </c>
      <c r="K3702" s="650" t="e">
        <f t="shared" si="475"/>
        <v>#DIV/0!</v>
      </c>
    </row>
    <row r="3703" spans="1:11" ht="24.95" customHeight="1">
      <c r="A3703" s="801" t="s">
        <v>2176</v>
      </c>
      <c r="B3703" s="802" t="s">
        <v>2177</v>
      </c>
      <c r="C3703" s="1374"/>
      <c r="D3703" s="1374">
        <v>1</v>
      </c>
      <c r="E3703" s="1258" t="e">
        <f t="shared" si="473"/>
        <v>#DIV/0!</v>
      </c>
      <c r="F3703" s="1374"/>
      <c r="G3703" s="1374"/>
      <c r="H3703" s="1406"/>
      <c r="I3703" s="1257">
        <f t="shared" si="477"/>
        <v>0</v>
      </c>
      <c r="J3703" s="149">
        <f t="shared" si="474"/>
        <v>1</v>
      </c>
      <c r="K3703" s="650" t="e">
        <f t="shared" si="475"/>
        <v>#DIV/0!</v>
      </c>
    </row>
    <row r="3704" spans="1:11" ht="24.95" customHeight="1">
      <c r="A3704" s="801" t="s">
        <v>2620</v>
      </c>
      <c r="B3704" s="802" t="s">
        <v>2621</v>
      </c>
      <c r="C3704" s="1374"/>
      <c r="D3704" s="1374"/>
      <c r="E3704" s="1258" t="e">
        <f t="shared" si="473"/>
        <v>#DIV/0!</v>
      </c>
      <c r="F3704" s="1374"/>
      <c r="G3704" s="1374"/>
      <c r="H3704" s="1406"/>
      <c r="I3704" s="1257">
        <f t="shared" si="477"/>
        <v>0</v>
      </c>
      <c r="J3704" s="149">
        <f t="shared" si="474"/>
        <v>0</v>
      </c>
      <c r="K3704" s="650" t="e">
        <f t="shared" si="475"/>
        <v>#DIV/0!</v>
      </c>
    </row>
    <row r="3705" spans="1:11" ht="24.95" customHeight="1">
      <c r="A3705" s="801" t="s">
        <v>2329</v>
      </c>
      <c r="B3705" s="802" t="s">
        <v>2961</v>
      </c>
      <c r="C3705" s="1374"/>
      <c r="D3705" s="1374"/>
      <c r="E3705" s="1258" t="e">
        <f t="shared" si="473"/>
        <v>#DIV/0!</v>
      </c>
      <c r="F3705" s="1374"/>
      <c r="G3705" s="1374"/>
      <c r="H3705" s="1406"/>
      <c r="I3705" s="1257">
        <f t="shared" si="477"/>
        <v>0</v>
      </c>
      <c r="J3705" s="149">
        <f t="shared" si="474"/>
        <v>0</v>
      </c>
      <c r="K3705" s="650" t="e">
        <f t="shared" si="475"/>
        <v>#DIV/0!</v>
      </c>
    </row>
    <row r="3706" spans="1:11" ht="24.95" customHeight="1">
      <c r="A3706" s="801" t="s">
        <v>2331</v>
      </c>
      <c r="B3706" s="802" t="s">
        <v>2332</v>
      </c>
      <c r="C3706" s="1374"/>
      <c r="D3706" s="1374"/>
      <c r="E3706" s="1258" t="e">
        <f t="shared" si="473"/>
        <v>#DIV/0!</v>
      </c>
      <c r="F3706" s="1374"/>
      <c r="G3706" s="1374"/>
      <c r="H3706" s="1406"/>
      <c r="I3706" s="1257">
        <f t="shared" si="477"/>
        <v>0</v>
      </c>
      <c r="J3706" s="149">
        <f t="shared" si="474"/>
        <v>0</v>
      </c>
      <c r="K3706" s="650" t="e">
        <f t="shared" si="475"/>
        <v>#DIV/0!</v>
      </c>
    </row>
    <row r="3707" spans="1:11" ht="24.95" customHeight="1">
      <c r="A3707" s="801" t="s">
        <v>2631</v>
      </c>
      <c r="B3707" s="802" t="s">
        <v>2632</v>
      </c>
      <c r="C3707" s="1374"/>
      <c r="D3707" s="1374"/>
      <c r="E3707" s="1258" t="e">
        <f t="shared" si="473"/>
        <v>#DIV/0!</v>
      </c>
      <c r="F3707" s="1374"/>
      <c r="G3707" s="1374"/>
      <c r="H3707" s="1406"/>
      <c r="I3707" s="1257">
        <f t="shared" si="477"/>
        <v>0</v>
      </c>
      <c r="J3707" s="149">
        <f t="shared" si="474"/>
        <v>0</v>
      </c>
      <c r="K3707" s="650" t="e">
        <f t="shared" si="475"/>
        <v>#DIV/0!</v>
      </c>
    </row>
    <row r="3708" spans="1:11" ht="24.95" customHeight="1">
      <c r="A3708" s="801" t="s">
        <v>2178</v>
      </c>
      <c r="B3708" s="802" t="s">
        <v>2179</v>
      </c>
      <c r="C3708" s="1374">
        <v>3</v>
      </c>
      <c r="D3708" s="1374">
        <v>1</v>
      </c>
      <c r="E3708" s="1258">
        <f t="shared" si="473"/>
        <v>0.33333333333333331</v>
      </c>
      <c r="F3708" s="1374"/>
      <c r="G3708" s="1374"/>
      <c r="H3708" s="1406"/>
      <c r="I3708" s="1257">
        <f t="shared" si="477"/>
        <v>3</v>
      </c>
      <c r="J3708" s="149">
        <f t="shared" si="474"/>
        <v>1</v>
      </c>
      <c r="K3708" s="650">
        <f t="shared" si="475"/>
        <v>0.33333333333333331</v>
      </c>
    </row>
    <row r="3709" spans="1:11" ht="24.95" customHeight="1">
      <c r="A3709" s="801" t="s">
        <v>2963</v>
      </c>
      <c r="B3709" s="802" t="s">
        <v>2964</v>
      </c>
      <c r="C3709" s="1374"/>
      <c r="D3709" s="1374"/>
      <c r="E3709" s="1258" t="e">
        <f t="shared" si="473"/>
        <v>#DIV/0!</v>
      </c>
      <c r="F3709" s="1374"/>
      <c r="G3709" s="1374"/>
      <c r="H3709" s="1406"/>
      <c r="I3709" s="1257">
        <f t="shared" si="477"/>
        <v>0</v>
      </c>
      <c r="J3709" s="149">
        <f t="shared" si="474"/>
        <v>0</v>
      </c>
      <c r="K3709" s="650" t="e">
        <f t="shared" si="475"/>
        <v>#DIV/0!</v>
      </c>
    </row>
    <row r="3710" spans="1:11" ht="24.95" customHeight="1">
      <c r="A3710" s="1434" t="s">
        <v>2637</v>
      </c>
      <c r="B3710" s="1435" t="s">
        <v>2638</v>
      </c>
      <c r="C3710" s="1374"/>
      <c r="D3710" s="1374"/>
      <c r="E3710" s="1258" t="e">
        <f t="shared" si="473"/>
        <v>#DIV/0!</v>
      </c>
      <c r="F3710" s="1374"/>
      <c r="G3710" s="1374"/>
      <c r="H3710" s="1406"/>
      <c r="I3710" s="1257">
        <f t="shared" si="477"/>
        <v>0</v>
      </c>
      <c r="J3710" s="149">
        <f t="shared" si="474"/>
        <v>0</v>
      </c>
      <c r="K3710" s="650" t="e">
        <f t="shared" si="475"/>
        <v>#DIV/0!</v>
      </c>
    </row>
    <row r="3711" spans="1:11" ht="24.95" customHeight="1">
      <c r="A3711" s="801" t="s">
        <v>2639</v>
      </c>
      <c r="B3711" s="802" t="s">
        <v>3048</v>
      </c>
      <c r="C3711" s="1374"/>
      <c r="D3711" s="1374"/>
      <c r="E3711" s="1258" t="e">
        <f t="shared" si="473"/>
        <v>#DIV/0!</v>
      </c>
      <c r="F3711" s="1374"/>
      <c r="G3711" s="1374"/>
      <c r="H3711" s="1406"/>
      <c r="I3711" s="1257">
        <f t="shared" si="477"/>
        <v>0</v>
      </c>
      <c r="J3711" s="149">
        <f t="shared" si="474"/>
        <v>0</v>
      </c>
      <c r="K3711" s="650" t="e">
        <f t="shared" si="475"/>
        <v>#DIV/0!</v>
      </c>
    </row>
    <row r="3712" spans="1:11" ht="24.95" customHeight="1">
      <c r="A3712" s="801" t="s">
        <v>6311</v>
      </c>
      <c r="B3712" s="802" t="s">
        <v>6312</v>
      </c>
      <c r="C3712" s="1374"/>
      <c r="D3712" s="1374"/>
      <c r="E3712" s="1258" t="e">
        <f t="shared" si="473"/>
        <v>#DIV/0!</v>
      </c>
      <c r="F3712" s="1374"/>
      <c r="G3712" s="1374"/>
      <c r="H3712" s="1406"/>
      <c r="I3712" s="1257">
        <f t="shared" si="477"/>
        <v>0</v>
      </c>
      <c r="J3712" s="149">
        <f t="shared" si="474"/>
        <v>0</v>
      </c>
      <c r="K3712" s="650" t="e">
        <f t="shared" si="475"/>
        <v>#DIV/0!</v>
      </c>
    </row>
    <row r="3713" spans="1:11" ht="24.95" customHeight="1">
      <c r="A3713" s="801" t="s">
        <v>2971</v>
      </c>
      <c r="B3713" s="802" t="s">
        <v>3207</v>
      </c>
      <c r="C3713" s="1374">
        <v>190</v>
      </c>
      <c r="D3713" s="1374">
        <v>124</v>
      </c>
      <c r="E3713" s="1258">
        <f t="shared" si="473"/>
        <v>0.65263157894736845</v>
      </c>
      <c r="F3713" s="1374"/>
      <c r="G3713" s="1374"/>
      <c r="H3713" s="1406"/>
      <c r="I3713" s="1257"/>
      <c r="J3713" s="149">
        <f t="shared" si="474"/>
        <v>124</v>
      </c>
      <c r="K3713" s="650" t="e">
        <f t="shared" si="475"/>
        <v>#DIV/0!</v>
      </c>
    </row>
    <row r="3714" spans="1:11" ht="24.95" customHeight="1">
      <c r="A3714" s="801" t="s">
        <v>2645</v>
      </c>
      <c r="B3714" s="802" t="s">
        <v>6313</v>
      </c>
      <c r="C3714" s="1374">
        <v>30</v>
      </c>
      <c r="D3714" s="1374">
        <v>7</v>
      </c>
      <c r="E3714" s="1258">
        <f t="shared" si="473"/>
        <v>0.23333333333333334</v>
      </c>
      <c r="F3714" s="1374"/>
      <c r="G3714" s="1374"/>
      <c r="H3714" s="1406"/>
      <c r="I3714" s="1257"/>
      <c r="J3714" s="149">
        <f t="shared" si="474"/>
        <v>7</v>
      </c>
      <c r="K3714" s="650" t="e">
        <f t="shared" si="475"/>
        <v>#DIV/0!</v>
      </c>
    </row>
    <row r="3715" spans="1:11" ht="24.95" customHeight="1">
      <c r="A3715" s="801" t="s">
        <v>3974</v>
      </c>
      <c r="B3715" s="802" t="s">
        <v>3975</v>
      </c>
      <c r="C3715" s="1374"/>
      <c r="D3715" s="1374"/>
      <c r="E3715" s="1258" t="e">
        <f t="shared" si="473"/>
        <v>#DIV/0!</v>
      </c>
      <c r="F3715" s="1374"/>
      <c r="G3715" s="1374"/>
      <c r="H3715" s="1406"/>
      <c r="I3715" s="1257">
        <f>+C3715+F3715</f>
        <v>0</v>
      </c>
      <c r="J3715" s="149">
        <f t="shared" si="474"/>
        <v>0</v>
      </c>
      <c r="K3715" s="650" t="e">
        <f t="shared" si="475"/>
        <v>#DIV/0!</v>
      </c>
    </row>
    <row r="3716" spans="1:11" ht="24.95" customHeight="1">
      <c r="A3716" s="801" t="s">
        <v>6314</v>
      </c>
      <c r="B3716" s="802" t="s">
        <v>6315</v>
      </c>
      <c r="C3716" s="1374"/>
      <c r="D3716" s="1374"/>
      <c r="E3716" s="1258" t="e">
        <f t="shared" si="473"/>
        <v>#DIV/0!</v>
      </c>
      <c r="F3716" s="1374"/>
      <c r="G3716" s="1374"/>
      <c r="H3716" s="1406"/>
      <c r="I3716" s="1257">
        <f>+C3716+F3716</f>
        <v>0</v>
      </c>
      <c r="J3716" s="149">
        <f t="shared" si="474"/>
        <v>0</v>
      </c>
      <c r="K3716" s="650" t="e">
        <f t="shared" si="475"/>
        <v>#DIV/0!</v>
      </c>
    </row>
    <row r="3717" spans="1:11" ht="24.95" customHeight="1">
      <c r="A3717" s="801" t="s">
        <v>2655</v>
      </c>
      <c r="B3717" s="802" t="s">
        <v>2656</v>
      </c>
      <c r="C3717" s="1374"/>
      <c r="D3717" s="1374"/>
      <c r="E3717" s="1258" t="e">
        <f t="shared" si="473"/>
        <v>#DIV/0!</v>
      </c>
      <c r="F3717" s="1374"/>
      <c r="G3717" s="1374"/>
      <c r="H3717" s="1406"/>
      <c r="I3717" s="1257">
        <f>+C3717+F3717</f>
        <v>0</v>
      </c>
      <c r="J3717" s="149">
        <f t="shared" si="474"/>
        <v>0</v>
      </c>
      <c r="K3717" s="650" t="e">
        <f t="shared" si="475"/>
        <v>#DIV/0!</v>
      </c>
    </row>
    <row r="3718" spans="1:11" ht="24.95" customHeight="1">
      <c r="A3718" s="801" t="s">
        <v>2657</v>
      </c>
      <c r="B3718" s="802" t="s">
        <v>6316</v>
      </c>
      <c r="C3718" s="1374">
        <v>3</v>
      </c>
      <c r="D3718" s="1374">
        <v>1</v>
      </c>
      <c r="E3718" s="1258">
        <f t="shared" si="473"/>
        <v>0.33333333333333331</v>
      </c>
      <c r="F3718" s="1374"/>
      <c r="G3718" s="1374"/>
      <c r="H3718" s="1406"/>
      <c r="I3718" s="1257">
        <f>+C3718+F3718</f>
        <v>3</v>
      </c>
      <c r="J3718" s="149">
        <f t="shared" si="474"/>
        <v>1</v>
      </c>
      <c r="K3718" s="650">
        <f t="shared" si="475"/>
        <v>0.33333333333333331</v>
      </c>
    </row>
    <row r="3719" spans="1:11" ht="24.95" customHeight="1">
      <c r="A3719" s="801"/>
      <c r="B3719" s="802" t="s">
        <v>2</v>
      </c>
      <c r="C3719" s="1374">
        <f t="shared" ref="C3719:I3719" si="478">SUM(C3680:C3718)</f>
        <v>20024</v>
      </c>
      <c r="D3719" s="1374">
        <f t="shared" si="478"/>
        <v>9269</v>
      </c>
      <c r="E3719" s="1258">
        <f t="shared" si="473"/>
        <v>0.46289452656811825</v>
      </c>
      <c r="F3719" s="1374">
        <f t="shared" si="478"/>
        <v>0</v>
      </c>
      <c r="G3719" s="1374">
        <f t="shared" si="478"/>
        <v>0</v>
      </c>
      <c r="H3719" s="1406"/>
      <c r="I3719" s="1374">
        <f t="shared" si="478"/>
        <v>19784</v>
      </c>
      <c r="J3719" s="149">
        <f t="shared" si="474"/>
        <v>9269</v>
      </c>
      <c r="K3719" s="650">
        <f t="shared" si="475"/>
        <v>0.46850990699555195</v>
      </c>
    </row>
    <row r="3720" spans="1:11" ht="24.95" customHeight="1">
      <c r="A3720" s="1436"/>
      <c r="B3720" s="1437" t="s">
        <v>3102</v>
      </c>
      <c r="C3720" s="1985"/>
      <c r="D3720" s="1985"/>
      <c r="E3720" s="1985"/>
      <c r="F3720" s="1985"/>
      <c r="G3720" s="1985"/>
      <c r="H3720" s="1985"/>
      <c r="I3720" s="1985"/>
      <c r="J3720" s="149"/>
      <c r="K3720" s="650"/>
    </row>
    <row r="3721" spans="1:11" ht="24.95" customHeight="1">
      <c r="A3721" s="1370" t="s">
        <v>3013</v>
      </c>
      <c r="B3721" s="1370" t="s">
        <v>2388</v>
      </c>
      <c r="C3721" s="1430"/>
      <c r="D3721" s="1430"/>
      <c r="E3721" s="1258"/>
      <c r="F3721" s="1430">
        <v>100</v>
      </c>
      <c r="G3721" s="1430">
        <v>60</v>
      </c>
      <c r="H3721" s="1258">
        <f>+G3721/F3721</f>
        <v>0.6</v>
      </c>
      <c r="I3721" s="1257">
        <f>+C3721+F3721</f>
        <v>100</v>
      </c>
      <c r="J3721" s="149">
        <f>+G3721</f>
        <v>60</v>
      </c>
      <c r="K3721" s="650">
        <f>+J3721/I3721</f>
        <v>0.6</v>
      </c>
    </row>
    <row r="3722" spans="1:11" ht="24.95" customHeight="1">
      <c r="A3722" s="1431" t="s">
        <v>3551</v>
      </c>
      <c r="B3722" s="1432" t="s">
        <v>5230</v>
      </c>
      <c r="C3722" s="1374"/>
      <c r="D3722" s="1374"/>
      <c r="E3722" s="1406"/>
      <c r="F3722" s="1374">
        <v>5</v>
      </c>
      <c r="G3722" s="1374"/>
      <c r="H3722" s="1258">
        <f t="shared" ref="H3722:H3759" si="479">+G3722/F3722</f>
        <v>0</v>
      </c>
      <c r="I3722" s="1257">
        <f>+C3722+F3722</f>
        <v>5</v>
      </c>
      <c r="J3722" s="149">
        <f t="shared" ref="J3722:J3756" si="480">+G3722</f>
        <v>0</v>
      </c>
      <c r="K3722" s="650">
        <f t="shared" ref="K3722:K3759" si="481">+J3722/I3722</f>
        <v>0</v>
      </c>
    </row>
    <row r="3723" spans="1:11" ht="24.95" customHeight="1">
      <c r="A3723" s="801" t="s">
        <v>6300</v>
      </c>
      <c r="B3723" s="802" t="s">
        <v>6301</v>
      </c>
      <c r="C3723" s="1374"/>
      <c r="D3723" s="1374"/>
      <c r="E3723" s="1406"/>
      <c r="F3723" s="1374"/>
      <c r="G3723" s="1374"/>
      <c r="H3723" s="1258" t="e">
        <f t="shared" si="479"/>
        <v>#DIV/0!</v>
      </c>
      <c r="I3723" s="1257">
        <f>+C3723+F3723</f>
        <v>0</v>
      </c>
      <c r="J3723" s="149">
        <f t="shared" si="480"/>
        <v>0</v>
      </c>
      <c r="K3723" s="650" t="e">
        <f t="shared" si="481"/>
        <v>#DIV/0!</v>
      </c>
    </row>
    <row r="3724" spans="1:11" ht="24.95" customHeight="1">
      <c r="A3724" s="801" t="s">
        <v>2429</v>
      </c>
      <c r="B3724" s="802" t="s">
        <v>3793</v>
      </c>
      <c r="C3724" s="1374"/>
      <c r="D3724" s="1374"/>
      <c r="E3724" s="1406"/>
      <c r="F3724" s="1374">
        <v>1</v>
      </c>
      <c r="G3724" s="1374"/>
      <c r="H3724" s="1258">
        <f t="shared" si="479"/>
        <v>0</v>
      </c>
      <c r="I3724" s="1257"/>
      <c r="J3724" s="149">
        <f t="shared" si="480"/>
        <v>0</v>
      </c>
      <c r="K3724" s="650" t="e">
        <f t="shared" si="481"/>
        <v>#DIV/0!</v>
      </c>
    </row>
    <row r="3725" spans="1:11" ht="24.95" customHeight="1">
      <c r="A3725" s="801" t="s">
        <v>2873</v>
      </c>
      <c r="B3725" s="802" t="s">
        <v>6317</v>
      </c>
      <c r="C3725" s="1374"/>
      <c r="D3725" s="1374"/>
      <c r="E3725" s="1406"/>
      <c r="F3725" s="1374">
        <v>5</v>
      </c>
      <c r="G3725" s="1374"/>
      <c r="H3725" s="1258">
        <f t="shared" si="479"/>
        <v>0</v>
      </c>
      <c r="I3725" s="1257">
        <f t="shared" ref="I3725:J3759" si="482">+C3725+F3725</f>
        <v>5</v>
      </c>
      <c r="J3725" s="149">
        <f t="shared" si="480"/>
        <v>0</v>
      </c>
      <c r="K3725" s="650">
        <f t="shared" si="481"/>
        <v>0</v>
      </c>
    </row>
    <row r="3726" spans="1:11" ht="24.95" customHeight="1">
      <c r="A3726" s="801" t="s">
        <v>3039</v>
      </c>
      <c r="B3726" s="802" t="s">
        <v>3803</v>
      </c>
      <c r="C3726" s="1374"/>
      <c r="D3726" s="1374"/>
      <c r="E3726" s="1406"/>
      <c r="F3726" s="1374">
        <v>30</v>
      </c>
      <c r="G3726" s="1374">
        <v>7</v>
      </c>
      <c r="H3726" s="1258">
        <f t="shared" si="479"/>
        <v>0.23333333333333334</v>
      </c>
      <c r="I3726" s="1257">
        <f t="shared" si="482"/>
        <v>30</v>
      </c>
      <c r="J3726" s="149">
        <f t="shared" si="480"/>
        <v>7</v>
      </c>
      <c r="K3726" s="650">
        <f t="shared" si="481"/>
        <v>0.23333333333333334</v>
      </c>
    </row>
    <row r="3727" spans="1:11" ht="24.95" customHeight="1">
      <c r="A3727" s="801" t="s">
        <v>6233</v>
      </c>
      <c r="B3727" s="802" t="s">
        <v>6234</v>
      </c>
      <c r="C3727" s="1374"/>
      <c r="D3727" s="1374"/>
      <c r="E3727" s="1406"/>
      <c r="F3727" s="1374">
        <v>15</v>
      </c>
      <c r="G3727" s="1374"/>
      <c r="H3727" s="1258">
        <f t="shared" si="479"/>
        <v>0</v>
      </c>
      <c r="I3727" s="1257">
        <f t="shared" si="482"/>
        <v>15</v>
      </c>
      <c r="J3727" s="149">
        <f t="shared" si="480"/>
        <v>0</v>
      </c>
      <c r="K3727" s="650">
        <f t="shared" si="481"/>
        <v>0</v>
      </c>
    </row>
    <row r="3728" spans="1:11" ht="24.95" customHeight="1">
      <c r="A3728" s="801" t="s">
        <v>6302</v>
      </c>
      <c r="B3728" s="802" t="s">
        <v>6303</v>
      </c>
      <c r="C3728" s="1374"/>
      <c r="D3728" s="1374"/>
      <c r="E3728" s="1406"/>
      <c r="F3728" s="1374">
        <v>280</v>
      </c>
      <c r="G3728" s="1374">
        <v>149</v>
      </c>
      <c r="H3728" s="1258">
        <f t="shared" si="479"/>
        <v>0.53214285714285714</v>
      </c>
      <c r="I3728" s="1257">
        <f t="shared" si="482"/>
        <v>280</v>
      </c>
      <c r="J3728" s="149">
        <f t="shared" si="480"/>
        <v>149</v>
      </c>
      <c r="K3728" s="650">
        <f t="shared" si="481"/>
        <v>0.53214285714285714</v>
      </c>
    </row>
    <row r="3729" spans="1:11" ht="24.95" customHeight="1">
      <c r="A3729" s="801" t="s">
        <v>6304</v>
      </c>
      <c r="B3729" s="802" t="s">
        <v>6305</v>
      </c>
      <c r="C3729" s="1374"/>
      <c r="D3729" s="1374"/>
      <c r="E3729" s="1406"/>
      <c r="F3729" s="1374">
        <v>1530</v>
      </c>
      <c r="G3729" s="1374">
        <v>1065</v>
      </c>
      <c r="H3729" s="1258">
        <f t="shared" si="479"/>
        <v>0.69607843137254899</v>
      </c>
      <c r="I3729" s="1257">
        <f t="shared" si="482"/>
        <v>1530</v>
      </c>
      <c r="J3729" s="149">
        <f t="shared" si="480"/>
        <v>1065</v>
      </c>
      <c r="K3729" s="650">
        <f t="shared" si="481"/>
        <v>0.69607843137254899</v>
      </c>
    </row>
    <row r="3730" spans="1:11" ht="24.95" customHeight="1">
      <c r="A3730" s="801" t="s">
        <v>5131</v>
      </c>
      <c r="B3730" s="802" t="s">
        <v>6318</v>
      </c>
      <c r="C3730" s="1374"/>
      <c r="D3730" s="1374"/>
      <c r="E3730" s="1406"/>
      <c r="F3730" s="1374">
        <v>0</v>
      </c>
      <c r="G3730" s="1374"/>
      <c r="H3730" s="1258" t="e">
        <f t="shared" si="479"/>
        <v>#DIV/0!</v>
      </c>
      <c r="I3730" s="1257">
        <f t="shared" si="482"/>
        <v>0</v>
      </c>
      <c r="J3730" s="149">
        <f t="shared" si="480"/>
        <v>0</v>
      </c>
      <c r="K3730" s="650" t="e">
        <f t="shared" si="481"/>
        <v>#DIV/0!</v>
      </c>
    </row>
    <row r="3731" spans="1:11" ht="24.95" customHeight="1">
      <c r="A3731" s="801" t="s">
        <v>3720</v>
      </c>
      <c r="B3731" s="802" t="s">
        <v>3721</v>
      </c>
      <c r="C3731" s="1374"/>
      <c r="D3731" s="1374"/>
      <c r="E3731" s="1406"/>
      <c r="F3731" s="1374">
        <v>0</v>
      </c>
      <c r="G3731" s="1374"/>
      <c r="H3731" s="1258" t="e">
        <f t="shared" si="479"/>
        <v>#DIV/0!</v>
      </c>
      <c r="I3731" s="1257">
        <f t="shared" si="482"/>
        <v>0</v>
      </c>
      <c r="J3731" s="149">
        <f t="shared" si="480"/>
        <v>0</v>
      </c>
      <c r="K3731" s="650" t="e">
        <f t="shared" si="481"/>
        <v>#DIV/0!</v>
      </c>
    </row>
    <row r="3732" spans="1:11" ht="24.95" customHeight="1">
      <c r="A3732" s="1434" t="s">
        <v>3814</v>
      </c>
      <c r="B3732" s="1435" t="s">
        <v>3815</v>
      </c>
      <c r="C3732" s="1374"/>
      <c r="D3732" s="1374"/>
      <c r="E3732" s="1406"/>
      <c r="F3732" s="1374">
        <v>3820</v>
      </c>
      <c r="G3732" s="1374">
        <v>2328</v>
      </c>
      <c r="H3732" s="1258">
        <f t="shared" si="479"/>
        <v>0.60942408376963353</v>
      </c>
      <c r="I3732" s="1257">
        <f t="shared" si="482"/>
        <v>3820</v>
      </c>
      <c r="J3732" s="149">
        <f t="shared" si="480"/>
        <v>2328</v>
      </c>
      <c r="K3732" s="650">
        <f t="shared" si="481"/>
        <v>0.60942408376963353</v>
      </c>
    </row>
    <row r="3733" spans="1:11" ht="24.95" customHeight="1">
      <c r="A3733" s="1434" t="s">
        <v>6319</v>
      </c>
      <c r="B3733" s="1435" t="s">
        <v>3858</v>
      </c>
      <c r="C3733" s="1374"/>
      <c r="D3733" s="1374"/>
      <c r="E3733" s="1406"/>
      <c r="F3733" s="1374">
        <v>1</v>
      </c>
      <c r="G3733" s="1374"/>
      <c r="H3733" s="1258">
        <f t="shared" si="479"/>
        <v>0</v>
      </c>
      <c r="I3733" s="1257">
        <f t="shared" si="482"/>
        <v>1</v>
      </c>
      <c r="J3733" s="149">
        <f t="shared" si="480"/>
        <v>0</v>
      </c>
      <c r="K3733" s="650">
        <f t="shared" si="481"/>
        <v>0</v>
      </c>
    </row>
    <row r="3734" spans="1:11" ht="24.95" customHeight="1">
      <c r="A3734" s="801" t="s">
        <v>5144</v>
      </c>
      <c r="B3734" s="802" t="s">
        <v>5145</v>
      </c>
      <c r="C3734" s="1374"/>
      <c r="D3734" s="1374"/>
      <c r="E3734" s="1406"/>
      <c r="F3734" s="1374">
        <v>3925</v>
      </c>
      <c r="G3734" s="1374">
        <v>2341</v>
      </c>
      <c r="H3734" s="1258">
        <f t="shared" si="479"/>
        <v>0.59643312101910828</v>
      </c>
      <c r="I3734" s="1257">
        <f t="shared" si="482"/>
        <v>3925</v>
      </c>
      <c r="J3734" s="149">
        <f t="shared" si="480"/>
        <v>2341</v>
      </c>
      <c r="K3734" s="650">
        <f t="shared" si="481"/>
        <v>0.59643312101910828</v>
      </c>
    </row>
    <row r="3735" spans="1:11" ht="24.95" customHeight="1">
      <c r="A3735" s="801" t="s">
        <v>3816</v>
      </c>
      <c r="B3735" s="802" t="s">
        <v>3817</v>
      </c>
      <c r="C3735" s="1374"/>
      <c r="D3735" s="1374"/>
      <c r="E3735" s="1406"/>
      <c r="F3735" s="1374">
        <v>3925</v>
      </c>
      <c r="G3735" s="1374">
        <v>2341</v>
      </c>
      <c r="H3735" s="1258">
        <f t="shared" si="479"/>
        <v>0.59643312101910828</v>
      </c>
      <c r="I3735" s="1257">
        <f t="shared" si="482"/>
        <v>3925</v>
      </c>
      <c r="J3735" s="149">
        <f t="shared" si="480"/>
        <v>2341</v>
      </c>
      <c r="K3735" s="650">
        <f t="shared" si="481"/>
        <v>0.59643312101910828</v>
      </c>
    </row>
    <row r="3736" spans="1:11" ht="24.95" customHeight="1">
      <c r="A3736" s="801" t="s">
        <v>2959</v>
      </c>
      <c r="B3736" s="802" t="s">
        <v>2960</v>
      </c>
      <c r="C3736" s="1374"/>
      <c r="D3736" s="1374"/>
      <c r="E3736" s="1406"/>
      <c r="F3736" s="1374">
        <v>255</v>
      </c>
      <c r="G3736" s="1374">
        <v>112</v>
      </c>
      <c r="H3736" s="1258">
        <f t="shared" si="479"/>
        <v>0.4392156862745098</v>
      </c>
      <c r="I3736" s="1257">
        <f t="shared" si="482"/>
        <v>255</v>
      </c>
      <c r="J3736" s="149">
        <f t="shared" si="480"/>
        <v>112</v>
      </c>
      <c r="K3736" s="650">
        <f t="shared" si="481"/>
        <v>0.4392156862745098</v>
      </c>
    </row>
    <row r="3737" spans="1:11" ht="24.95" customHeight="1">
      <c r="A3737" s="801" t="s">
        <v>2176</v>
      </c>
      <c r="B3737" s="802" t="s">
        <v>2177</v>
      </c>
      <c r="C3737" s="1374"/>
      <c r="D3737" s="1374"/>
      <c r="E3737" s="1406"/>
      <c r="F3737" s="1374">
        <v>10</v>
      </c>
      <c r="G3737" s="1374">
        <v>5</v>
      </c>
      <c r="H3737" s="1258">
        <f t="shared" si="479"/>
        <v>0.5</v>
      </c>
      <c r="I3737" s="1257">
        <f t="shared" si="482"/>
        <v>10</v>
      </c>
      <c r="J3737" s="149">
        <f t="shared" si="480"/>
        <v>5</v>
      </c>
      <c r="K3737" s="650">
        <f t="shared" si="481"/>
        <v>0.5</v>
      </c>
    </row>
    <row r="3738" spans="1:11" ht="24.95" customHeight="1">
      <c r="A3738" s="801" t="s">
        <v>2620</v>
      </c>
      <c r="B3738" s="802" t="s">
        <v>2621</v>
      </c>
      <c r="C3738" s="1374"/>
      <c r="D3738" s="1374"/>
      <c r="E3738" s="1406"/>
      <c r="F3738" s="1374">
        <v>245</v>
      </c>
      <c r="G3738" s="1374">
        <v>169</v>
      </c>
      <c r="H3738" s="1258">
        <f t="shared" si="479"/>
        <v>0.68979591836734699</v>
      </c>
      <c r="I3738" s="1257">
        <f t="shared" si="482"/>
        <v>245</v>
      </c>
      <c r="J3738" s="149">
        <f t="shared" si="480"/>
        <v>169</v>
      </c>
      <c r="K3738" s="650">
        <f t="shared" si="481"/>
        <v>0.68979591836734699</v>
      </c>
    </row>
    <row r="3739" spans="1:11" ht="24.95" customHeight="1">
      <c r="A3739" s="801" t="s">
        <v>2329</v>
      </c>
      <c r="B3739" s="802" t="s">
        <v>2961</v>
      </c>
      <c r="C3739" s="1374"/>
      <c r="D3739" s="1374"/>
      <c r="E3739" s="1406"/>
      <c r="F3739" s="1374">
        <v>2750</v>
      </c>
      <c r="G3739" s="1374">
        <v>1793</v>
      </c>
      <c r="H3739" s="1258">
        <f t="shared" si="479"/>
        <v>0.65200000000000002</v>
      </c>
      <c r="I3739" s="1257">
        <f t="shared" si="482"/>
        <v>2750</v>
      </c>
      <c r="J3739" s="149">
        <f t="shared" si="480"/>
        <v>1793</v>
      </c>
      <c r="K3739" s="650">
        <f t="shared" si="481"/>
        <v>0.65200000000000002</v>
      </c>
    </row>
    <row r="3740" spans="1:11" ht="24.95" customHeight="1">
      <c r="A3740" s="801" t="s">
        <v>2331</v>
      </c>
      <c r="B3740" s="802" t="s">
        <v>2332</v>
      </c>
      <c r="C3740" s="1374"/>
      <c r="D3740" s="1374"/>
      <c r="E3740" s="1406"/>
      <c r="F3740" s="1374">
        <v>2460</v>
      </c>
      <c r="G3740" s="1374">
        <v>1715</v>
      </c>
      <c r="H3740" s="1258">
        <f t="shared" si="479"/>
        <v>0.69715447154471544</v>
      </c>
      <c r="I3740" s="1257">
        <f t="shared" si="482"/>
        <v>2460</v>
      </c>
      <c r="J3740" s="149">
        <f t="shared" si="480"/>
        <v>1715</v>
      </c>
      <c r="K3740" s="650">
        <f t="shared" si="481"/>
        <v>0.69715447154471544</v>
      </c>
    </row>
    <row r="3741" spans="1:11" ht="24.95" customHeight="1">
      <c r="A3741" s="801" t="s">
        <v>2629</v>
      </c>
      <c r="B3741" s="802" t="s">
        <v>6320</v>
      </c>
      <c r="C3741" s="1374"/>
      <c r="D3741" s="1374"/>
      <c r="E3741" s="1406"/>
      <c r="F3741" s="1374">
        <v>2</v>
      </c>
      <c r="G3741" s="1374"/>
      <c r="H3741" s="1258">
        <f t="shared" si="479"/>
        <v>0</v>
      </c>
      <c r="I3741" s="1257">
        <f t="shared" si="482"/>
        <v>2</v>
      </c>
      <c r="J3741" s="149">
        <f t="shared" si="480"/>
        <v>0</v>
      </c>
      <c r="K3741" s="650">
        <f t="shared" si="481"/>
        <v>0</v>
      </c>
    </row>
    <row r="3742" spans="1:11" ht="24.95" customHeight="1">
      <c r="A3742" s="801" t="s">
        <v>2631</v>
      </c>
      <c r="B3742" s="802" t="s">
        <v>2632</v>
      </c>
      <c r="C3742" s="1374"/>
      <c r="D3742" s="1374"/>
      <c r="E3742" s="1406"/>
      <c r="F3742" s="1374">
        <v>410</v>
      </c>
      <c r="G3742" s="1374">
        <v>228</v>
      </c>
      <c r="H3742" s="1258">
        <f t="shared" si="479"/>
        <v>0.55609756097560981</v>
      </c>
      <c r="I3742" s="1257">
        <f t="shared" si="482"/>
        <v>410</v>
      </c>
      <c r="J3742" s="149">
        <f t="shared" si="480"/>
        <v>228</v>
      </c>
      <c r="K3742" s="650">
        <f t="shared" si="481"/>
        <v>0.55609756097560981</v>
      </c>
    </row>
    <row r="3743" spans="1:11" ht="24.95" customHeight="1">
      <c r="A3743" s="801" t="s">
        <v>2178</v>
      </c>
      <c r="B3743" s="802" t="s">
        <v>2179</v>
      </c>
      <c r="C3743" s="1374"/>
      <c r="D3743" s="1374"/>
      <c r="E3743" s="1406"/>
      <c r="F3743" s="1374">
        <v>85</v>
      </c>
      <c r="G3743" s="1374">
        <v>50</v>
      </c>
      <c r="H3743" s="1258">
        <f t="shared" si="479"/>
        <v>0.58823529411764708</v>
      </c>
      <c r="I3743" s="1257">
        <f t="shared" si="482"/>
        <v>85</v>
      </c>
      <c r="J3743" s="149">
        <f t="shared" si="480"/>
        <v>50</v>
      </c>
      <c r="K3743" s="650">
        <f t="shared" si="481"/>
        <v>0.58823529411764708</v>
      </c>
    </row>
    <row r="3744" spans="1:11" ht="24.95" customHeight="1">
      <c r="A3744" s="801" t="s">
        <v>2963</v>
      </c>
      <c r="B3744" s="802" t="s">
        <v>2964</v>
      </c>
      <c r="C3744" s="1374"/>
      <c r="D3744" s="1374"/>
      <c r="E3744" s="1406"/>
      <c r="F3744" s="1374">
        <v>3</v>
      </c>
      <c r="G3744" s="1374"/>
      <c r="H3744" s="1258">
        <f t="shared" si="479"/>
        <v>0</v>
      </c>
      <c r="I3744" s="1257">
        <f t="shared" si="482"/>
        <v>3</v>
      </c>
      <c r="J3744" s="149">
        <f t="shared" si="480"/>
        <v>0</v>
      </c>
      <c r="K3744" s="650">
        <f t="shared" si="481"/>
        <v>0</v>
      </c>
    </row>
    <row r="3745" spans="1:11" ht="24.95" customHeight="1">
      <c r="A3745" s="801" t="s">
        <v>2967</v>
      </c>
      <c r="B3745" s="802" t="s">
        <v>2968</v>
      </c>
      <c r="C3745" s="1374"/>
      <c r="D3745" s="1374"/>
      <c r="E3745" s="1406"/>
      <c r="F3745" s="1374">
        <v>0</v>
      </c>
      <c r="G3745" s="1374"/>
      <c r="H3745" s="1258" t="e">
        <f t="shared" si="479"/>
        <v>#DIV/0!</v>
      </c>
      <c r="I3745" s="1257">
        <f t="shared" si="482"/>
        <v>0</v>
      </c>
      <c r="J3745" s="149">
        <f t="shared" si="480"/>
        <v>0</v>
      </c>
      <c r="K3745" s="650" t="e">
        <f t="shared" si="481"/>
        <v>#DIV/0!</v>
      </c>
    </row>
    <row r="3746" spans="1:11" ht="24.95" customHeight="1">
      <c r="A3746" s="1434" t="s">
        <v>2637</v>
      </c>
      <c r="B3746" s="1435" t="s">
        <v>2638</v>
      </c>
      <c r="C3746" s="1374"/>
      <c r="D3746" s="1374"/>
      <c r="E3746" s="1406"/>
      <c r="F3746" s="1374"/>
      <c r="G3746" s="1374"/>
      <c r="H3746" s="1258" t="e">
        <f t="shared" si="479"/>
        <v>#DIV/0!</v>
      </c>
      <c r="I3746" s="1257">
        <f t="shared" si="482"/>
        <v>0</v>
      </c>
      <c r="J3746" s="149">
        <f t="shared" si="480"/>
        <v>0</v>
      </c>
      <c r="K3746" s="650" t="e">
        <f t="shared" si="481"/>
        <v>#DIV/0!</v>
      </c>
    </row>
    <row r="3747" spans="1:11" ht="24.95" customHeight="1">
      <c r="A3747" s="801" t="s">
        <v>2639</v>
      </c>
      <c r="B3747" s="802" t="s">
        <v>3048</v>
      </c>
      <c r="C3747" s="1374"/>
      <c r="D3747" s="1374"/>
      <c r="E3747" s="1406"/>
      <c r="F3747" s="1374">
        <v>530</v>
      </c>
      <c r="G3747" s="1374">
        <v>197</v>
      </c>
      <c r="H3747" s="1258">
        <f t="shared" si="479"/>
        <v>0.37169811320754714</v>
      </c>
      <c r="I3747" s="1257">
        <f t="shared" si="482"/>
        <v>530</v>
      </c>
      <c r="J3747" s="149">
        <f t="shared" si="480"/>
        <v>197</v>
      </c>
      <c r="K3747" s="650">
        <f t="shared" si="481"/>
        <v>0.37169811320754714</v>
      </c>
    </row>
    <row r="3748" spans="1:11" ht="24.95" customHeight="1">
      <c r="A3748" s="801" t="s">
        <v>6311</v>
      </c>
      <c r="B3748" s="802" t="s">
        <v>6312</v>
      </c>
      <c r="C3748" s="1374"/>
      <c r="D3748" s="1374"/>
      <c r="E3748" s="1406"/>
      <c r="F3748" s="1374"/>
      <c r="G3748" s="1374"/>
      <c r="H3748" s="1258" t="e">
        <f t="shared" si="479"/>
        <v>#DIV/0!</v>
      </c>
      <c r="I3748" s="1257">
        <f t="shared" si="482"/>
        <v>0</v>
      </c>
      <c r="J3748" s="149">
        <f t="shared" si="480"/>
        <v>0</v>
      </c>
      <c r="K3748" s="650" t="e">
        <f t="shared" si="481"/>
        <v>#DIV/0!</v>
      </c>
    </row>
    <row r="3749" spans="1:11" ht="24.95" customHeight="1">
      <c r="A3749" s="801" t="s">
        <v>2971</v>
      </c>
      <c r="B3749" s="802" t="s">
        <v>6321</v>
      </c>
      <c r="C3749" s="1374"/>
      <c r="D3749" s="1374"/>
      <c r="E3749" s="1406"/>
      <c r="F3749" s="1374">
        <v>10</v>
      </c>
      <c r="G3749" s="1374">
        <v>38</v>
      </c>
      <c r="H3749" s="1258">
        <f t="shared" si="479"/>
        <v>3.8</v>
      </c>
      <c r="I3749" s="1257">
        <f t="shared" si="482"/>
        <v>10</v>
      </c>
      <c r="J3749" s="149">
        <f t="shared" si="480"/>
        <v>38</v>
      </c>
      <c r="K3749" s="650">
        <f t="shared" si="481"/>
        <v>3.8</v>
      </c>
    </row>
    <row r="3750" spans="1:11" ht="24.95" customHeight="1">
      <c r="A3750" s="801" t="s">
        <v>2645</v>
      </c>
      <c r="B3750" s="802" t="s">
        <v>2646</v>
      </c>
      <c r="C3750" s="1374"/>
      <c r="D3750" s="1374"/>
      <c r="E3750" s="1406"/>
      <c r="F3750" s="1374">
        <v>10</v>
      </c>
      <c r="G3750" s="1374">
        <v>18</v>
      </c>
      <c r="H3750" s="1258">
        <f t="shared" si="479"/>
        <v>1.8</v>
      </c>
      <c r="I3750" s="1257">
        <f t="shared" si="482"/>
        <v>10</v>
      </c>
      <c r="J3750" s="149">
        <f t="shared" si="480"/>
        <v>18</v>
      </c>
      <c r="K3750" s="650">
        <f t="shared" si="481"/>
        <v>1.8</v>
      </c>
    </row>
    <row r="3751" spans="1:11" ht="24.95" customHeight="1">
      <c r="A3751" s="801" t="s">
        <v>6322</v>
      </c>
      <c r="B3751" s="802" t="s">
        <v>6323</v>
      </c>
      <c r="C3751" s="1374"/>
      <c r="D3751" s="1374"/>
      <c r="E3751" s="1406"/>
      <c r="F3751" s="1374">
        <v>0</v>
      </c>
      <c r="G3751" s="1374"/>
      <c r="H3751" s="1258" t="e">
        <f t="shared" si="479"/>
        <v>#DIV/0!</v>
      </c>
      <c r="I3751" s="1257">
        <f t="shared" si="482"/>
        <v>0</v>
      </c>
      <c r="J3751" s="149">
        <f t="shared" si="480"/>
        <v>0</v>
      </c>
      <c r="K3751" s="650" t="e">
        <f t="shared" si="481"/>
        <v>#DIV/0!</v>
      </c>
    </row>
    <row r="3752" spans="1:11" ht="24.95" customHeight="1">
      <c r="A3752" s="801" t="s">
        <v>6324</v>
      </c>
      <c r="B3752" s="802" t="s">
        <v>6325</v>
      </c>
      <c r="C3752" s="1374"/>
      <c r="D3752" s="1374"/>
      <c r="E3752" s="1406"/>
      <c r="F3752" s="1374">
        <v>0</v>
      </c>
      <c r="G3752" s="1374"/>
      <c r="H3752" s="1258" t="e">
        <f t="shared" si="479"/>
        <v>#DIV/0!</v>
      </c>
      <c r="I3752" s="1257">
        <f t="shared" si="482"/>
        <v>0</v>
      </c>
      <c r="J3752" s="149">
        <f t="shared" si="480"/>
        <v>0</v>
      </c>
      <c r="K3752" s="650" t="e">
        <f t="shared" si="481"/>
        <v>#DIV/0!</v>
      </c>
    </row>
    <row r="3753" spans="1:11" ht="24.95" customHeight="1">
      <c r="A3753" s="801" t="s">
        <v>3974</v>
      </c>
      <c r="B3753" s="802" t="s">
        <v>3975</v>
      </c>
      <c r="C3753" s="1374"/>
      <c r="D3753" s="1374"/>
      <c r="E3753" s="1406"/>
      <c r="F3753" s="1374">
        <v>2730</v>
      </c>
      <c r="G3753" s="1374">
        <v>1801</v>
      </c>
      <c r="H3753" s="1258">
        <f t="shared" si="479"/>
        <v>0.65970695970695969</v>
      </c>
      <c r="I3753" s="1257">
        <f t="shared" si="482"/>
        <v>2730</v>
      </c>
      <c r="J3753" s="149">
        <f t="shared" si="480"/>
        <v>1801</v>
      </c>
      <c r="K3753" s="650">
        <f t="shared" si="481"/>
        <v>0.65970695970695969</v>
      </c>
    </row>
    <row r="3754" spans="1:11" ht="24.95" customHeight="1">
      <c r="A3754" s="801" t="s">
        <v>6314</v>
      </c>
      <c r="B3754" s="802" t="s">
        <v>6315</v>
      </c>
      <c r="C3754" s="1374"/>
      <c r="D3754" s="1374"/>
      <c r="E3754" s="1406"/>
      <c r="F3754" s="1374">
        <v>2460</v>
      </c>
      <c r="G3754" s="1374">
        <v>1715</v>
      </c>
      <c r="H3754" s="1258">
        <f t="shared" si="479"/>
        <v>0.69715447154471544</v>
      </c>
      <c r="I3754" s="1257">
        <f t="shared" si="482"/>
        <v>2460</v>
      </c>
      <c r="J3754" s="149">
        <f t="shared" si="480"/>
        <v>1715</v>
      </c>
      <c r="K3754" s="650">
        <f t="shared" si="481"/>
        <v>0.69715447154471544</v>
      </c>
    </row>
    <row r="3755" spans="1:11" ht="24.95" customHeight="1">
      <c r="A3755" s="801" t="s">
        <v>2655</v>
      </c>
      <c r="B3755" s="802" t="s">
        <v>2656</v>
      </c>
      <c r="C3755" s="1374"/>
      <c r="D3755" s="1374"/>
      <c r="E3755" s="1406"/>
      <c r="F3755" s="1374">
        <v>460</v>
      </c>
      <c r="G3755" s="1374">
        <v>227</v>
      </c>
      <c r="H3755" s="1258">
        <f t="shared" si="479"/>
        <v>0.4934782608695652</v>
      </c>
      <c r="I3755" s="1257">
        <f t="shared" si="482"/>
        <v>460</v>
      </c>
      <c r="J3755" s="149">
        <f t="shared" si="480"/>
        <v>227</v>
      </c>
      <c r="K3755" s="650">
        <f t="shared" si="481"/>
        <v>0.4934782608695652</v>
      </c>
    </row>
    <row r="3756" spans="1:11" ht="24.95" customHeight="1">
      <c r="A3756" s="801" t="s">
        <v>2657</v>
      </c>
      <c r="B3756" s="802" t="s">
        <v>6316</v>
      </c>
      <c r="C3756" s="1374"/>
      <c r="D3756" s="1374"/>
      <c r="E3756" s="1406"/>
      <c r="F3756" s="1374">
        <v>60</v>
      </c>
      <c r="G3756" s="1374">
        <v>50</v>
      </c>
      <c r="H3756" s="1258">
        <f t="shared" si="479"/>
        <v>0.83333333333333337</v>
      </c>
      <c r="I3756" s="1257">
        <f t="shared" si="482"/>
        <v>60</v>
      </c>
      <c r="J3756" s="149">
        <f t="shared" si="480"/>
        <v>50</v>
      </c>
      <c r="K3756" s="650">
        <f t="shared" si="481"/>
        <v>0.83333333333333337</v>
      </c>
    </row>
    <row r="3757" spans="1:11" ht="24.95" customHeight="1">
      <c r="A3757" s="1210"/>
      <c r="B3757" s="1331" t="s">
        <v>3112</v>
      </c>
      <c r="C3757" s="1438">
        <f t="shared" ref="C3757:G3757" si="483">SUM(C3721:C3756)</f>
        <v>0</v>
      </c>
      <c r="D3757" s="1438">
        <f t="shared" si="483"/>
        <v>0</v>
      </c>
      <c r="E3757" s="1439" t="e">
        <f>+D3757/C3757</f>
        <v>#DIV/0!</v>
      </c>
      <c r="F3757" s="1438">
        <f t="shared" si="483"/>
        <v>26117</v>
      </c>
      <c r="G3757" s="1438">
        <f t="shared" si="483"/>
        <v>16409</v>
      </c>
      <c r="H3757" s="1258">
        <f t="shared" si="479"/>
        <v>0.62828808821840176</v>
      </c>
      <c r="I3757" s="1257">
        <f t="shared" si="482"/>
        <v>26117</v>
      </c>
      <c r="J3757" s="1257">
        <f t="shared" si="482"/>
        <v>16409</v>
      </c>
      <c r="K3757" s="650">
        <f t="shared" si="481"/>
        <v>0.62828808821840176</v>
      </c>
    </row>
    <row r="3758" spans="1:11" ht="24.95" customHeight="1">
      <c r="A3758" s="1210"/>
      <c r="B3758" s="1331" t="s">
        <v>3113</v>
      </c>
      <c r="C3758" s="1438">
        <f t="shared" ref="C3758:G3758" si="484">+C3719</f>
        <v>20024</v>
      </c>
      <c r="D3758" s="1438">
        <f t="shared" si="484"/>
        <v>9269</v>
      </c>
      <c r="E3758" s="1439">
        <f t="shared" ref="E3758:E3759" si="485">+D3758/C3758</f>
        <v>0.46289452656811825</v>
      </c>
      <c r="F3758" s="1438">
        <f t="shared" si="484"/>
        <v>0</v>
      </c>
      <c r="G3758" s="1438">
        <f t="shared" si="484"/>
        <v>0</v>
      </c>
      <c r="H3758" s="1258" t="e">
        <f t="shared" si="479"/>
        <v>#DIV/0!</v>
      </c>
      <c r="I3758" s="1257">
        <f t="shared" si="482"/>
        <v>20024</v>
      </c>
      <c r="J3758" s="1257">
        <f t="shared" si="482"/>
        <v>9269</v>
      </c>
      <c r="K3758" s="650">
        <f t="shared" si="481"/>
        <v>0.46289452656811825</v>
      </c>
    </row>
    <row r="3759" spans="1:11" ht="24.95" customHeight="1">
      <c r="A3759" s="1210"/>
      <c r="B3759" s="1331" t="s">
        <v>2671</v>
      </c>
      <c r="C3759" s="1440">
        <f t="shared" ref="C3759:G3759" si="486">+C3757+C3758</f>
        <v>20024</v>
      </c>
      <c r="D3759" s="1440">
        <f t="shared" si="486"/>
        <v>9269</v>
      </c>
      <c r="E3759" s="1439">
        <f t="shared" si="485"/>
        <v>0.46289452656811825</v>
      </c>
      <c r="F3759" s="1440">
        <f t="shared" si="486"/>
        <v>26117</v>
      </c>
      <c r="G3759" s="1440">
        <f t="shared" si="486"/>
        <v>16409</v>
      </c>
      <c r="H3759" s="1258">
        <f t="shared" si="479"/>
        <v>0.62828808821840176</v>
      </c>
      <c r="I3759" s="1257">
        <f t="shared" si="482"/>
        <v>46141</v>
      </c>
      <c r="J3759" s="1257">
        <f t="shared" si="482"/>
        <v>25678</v>
      </c>
      <c r="K3759" s="650">
        <f t="shared" si="481"/>
        <v>0.55651156238486377</v>
      </c>
    </row>
    <row r="3760" spans="1:11" ht="24.95" customHeight="1">
      <c r="A3760" s="1986" t="s">
        <v>149</v>
      </c>
      <c r="B3760" s="1986"/>
      <c r="C3760" s="1986"/>
      <c r="D3760" s="1986"/>
      <c r="E3760" s="1986"/>
      <c r="F3760" s="1986"/>
      <c r="G3760" s="1986"/>
      <c r="H3760" s="1986"/>
      <c r="I3760" s="1986"/>
      <c r="K3760" s="643"/>
    </row>
    <row r="3761" spans="1:11" ht="24.95" customHeight="1">
      <c r="A3761" s="959"/>
      <c r="B3761" s="960" t="s">
        <v>208</v>
      </c>
      <c r="C3761" s="1968" t="s">
        <v>1852</v>
      </c>
      <c r="D3761" s="1969"/>
      <c r="E3761" s="1969"/>
      <c r="F3761" s="1969"/>
      <c r="G3761" s="1969"/>
      <c r="H3761" s="1969"/>
      <c r="I3761" s="1969"/>
      <c r="J3761" s="1969"/>
      <c r="K3761" s="1969"/>
    </row>
    <row r="3762" spans="1:11" ht="24.95" customHeight="1">
      <c r="A3762" s="683"/>
      <c r="B3762" s="684" t="s">
        <v>209</v>
      </c>
      <c r="C3762" s="1958">
        <v>17878735</v>
      </c>
      <c r="D3762" s="1959"/>
      <c r="E3762" s="1959"/>
      <c r="F3762" s="1959"/>
      <c r="G3762" s="1959"/>
      <c r="H3762" s="1959"/>
      <c r="I3762" s="1959"/>
      <c r="J3762" s="1959"/>
      <c r="K3762" s="1959"/>
    </row>
    <row r="3763" spans="1:11" ht="24.95" customHeight="1">
      <c r="A3763" s="683"/>
      <c r="B3763" s="684" t="s">
        <v>211</v>
      </c>
      <c r="C3763" s="1960" t="s">
        <v>1812</v>
      </c>
      <c r="D3763" s="1961"/>
      <c r="E3763" s="1961"/>
      <c r="F3763" s="1961"/>
      <c r="G3763" s="1961"/>
      <c r="H3763" s="1961"/>
      <c r="I3763" s="1961"/>
      <c r="J3763" s="1961"/>
      <c r="K3763" s="1961"/>
    </row>
    <row r="3764" spans="1:11" ht="24.95" customHeight="1">
      <c r="A3764" s="683"/>
      <c r="B3764" s="684" t="s">
        <v>210</v>
      </c>
      <c r="C3764" s="1962" t="s">
        <v>331</v>
      </c>
      <c r="D3764" s="1963"/>
      <c r="E3764" s="1963"/>
      <c r="F3764" s="1963"/>
      <c r="G3764" s="1963"/>
      <c r="H3764" s="1963"/>
      <c r="I3764" s="1963"/>
      <c r="J3764" s="1963"/>
      <c r="K3764" s="1963"/>
    </row>
    <row r="3765" spans="1:11" ht="24.95" customHeight="1">
      <c r="A3765" s="683"/>
      <c r="B3765" s="684" t="s">
        <v>251</v>
      </c>
      <c r="C3765" s="1954" t="s">
        <v>6326</v>
      </c>
      <c r="D3765" s="1946"/>
      <c r="E3765" s="1946"/>
      <c r="F3765" s="1946"/>
      <c r="G3765" s="1946"/>
      <c r="H3765" s="1946"/>
      <c r="I3765" s="1946"/>
      <c r="J3765" s="1946"/>
      <c r="K3765" s="1946"/>
    </row>
    <row r="3766" spans="1:11" ht="24.95" customHeight="1">
      <c r="A3766" s="1980" t="s">
        <v>122</v>
      </c>
      <c r="B3766" s="1980" t="s">
        <v>253</v>
      </c>
      <c r="C3766" s="1935" t="s">
        <v>2038</v>
      </c>
      <c r="D3766" s="1935"/>
      <c r="E3766" s="1935"/>
      <c r="F3766" s="1935" t="s">
        <v>2039</v>
      </c>
      <c r="G3766" s="1935"/>
      <c r="H3766" s="1935"/>
      <c r="I3766" s="1935" t="s">
        <v>90</v>
      </c>
      <c r="J3766" s="1935"/>
      <c r="K3766" s="1935"/>
    </row>
    <row r="3767" spans="1:11" ht="24.95" customHeight="1">
      <c r="A3767" s="1981"/>
      <c r="B3767" s="1981"/>
      <c r="C3767" s="545" t="s">
        <v>368</v>
      </c>
      <c r="D3767" s="547" t="s">
        <v>2040</v>
      </c>
      <c r="E3767" s="545" t="s">
        <v>2041</v>
      </c>
      <c r="F3767" s="545" t="s">
        <v>368</v>
      </c>
      <c r="G3767" s="547" t="s">
        <v>2040</v>
      </c>
      <c r="H3767" s="546" t="s">
        <v>2041</v>
      </c>
      <c r="I3767" s="545" t="s">
        <v>368</v>
      </c>
      <c r="J3767" s="547" t="s">
        <v>2040</v>
      </c>
      <c r="K3767" s="546" t="s">
        <v>2041</v>
      </c>
    </row>
    <row r="3768" spans="1:11" ht="24.95" customHeight="1">
      <c r="A3768" s="1947" t="s">
        <v>2372</v>
      </c>
      <c r="B3768" s="1947"/>
      <c r="C3768" s="1947"/>
      <c r="D3768" s="1947"/>
      <c r="E3768" s="1947"/>
      <c r="F3768" s="1947"/>
      <c r="G3768" s="1947"/>
      <c r="H3768" s="1947"/>
      <c r="I3768" s="1947"/>
      <c r="J3768" s="1947"/>
      <c r="K3768" s="1947"/>
    </row>
    <row r="3769" spans="1:11" ht="24.95" customHeight="1">
      <c r="A3769" s="1441" t="s">
        <v>6327</v>
      </c>
      <c r="B3769" s="1442" t="s">
        <v>6328</v>
      </c>
      <c r="C3769" s="723"/>
      <c r="D3769" s="1443"/>
      <c r="E3769" s="1443"/>
      <c r="F3769" s="1443">
        <v>50</v>
      </c>
      <c r="G3769" s="723"/>
      <c r="H3769" s="728">
        <f>+G3769/F3769</f>
        <v>0</v>
      </c>
      <c r="I3769" s="1430">
        <f t="shared" ref="I3769:I3829" si="487">+C3769+F3769</f>
        <v>50</v>
      </c>
      <c r="J3769" s="860">
        <f>+G3769</f>
        <v>0</v>
      </c>
      <c r="K3769" s="650">
        <f>+J3769/I3769</f>
        <v>0</v>
      </c>
    </row>
    <row r="3770" spans="1:11" ht="24.95" customHeight="1">
      <c r="A3770" s="1441" t="s">
        <v>6329</v>
      </c>
      <c r="B3770" s="1442" t="s">
        <v>6330</v>
      </c>
      <c r="C3770" s="723"/>
      <c r="D3770" s="1443"/>
      <c r="E3770" s="1443"/>
      <c r="F3770" s="1443">
        <v>210</v>
      </c>
      <c r="G3770" s="723">
        <v>87</v>
      </c>
      <c r="H3770" s="728">
        <f t="shared" ref="H3770:H3830" si="488">+G3770/F3770</f>
        <v>0.41428571428571431</v>
      </c>
      <c r="I3770" s="1430">
        <f t="shared" si="487"/>
        <v>210</v>
      </c>
      <c r="J3770" s="860">
        <f t="shared" ref="J3770:J3830" si="489">+G3770</f>
        <v>87</v>
      </c>
      <c r="K3770" s="650">
        <f t="shared" ref="K3770:K3830" si="490">+J3770/I3770</f>
        <v>0.41428571428571431</v>
      </c>
    </row>
    <row r="3771" spans="1:11" ht="24.95" customHeight="1">
      <c r="A3771" s="1444" t="s">
        <v>2387</v>
      </c>
      <c r="B3771" s="1445" t="s">
        <v>2388</v>
      </c>
      <c r="C3771" s="723"/>
      <c r="D3771" s="1443"/>
      <c r="E3771" s="1443"/>
      <c r="F3771" s="1443">
        <v>60</v>
      </c>
      <c r="G3771" s="723">
        <v>37</v>
      </c>
      <c r="H3771" s="728">
        <f t="shared" si="488"/>
        <v>0.6166666666666667</v>
      </c>
      <c r="I3771" s="1430">
        <f t="shared" si="487"/>
        <v>60</v>
      </c>
      <c r="J3771" s="860">
        <f t="shared" si="489"/>
        <v>37</v>
      </c>
      <c r="K3771" s="650">
        <f t="shared" si="490"/>
        <v>0.6166666666666667</v>
      </c>
    </row>
    <row r="3772" spans="1:11" ht="24.95" customHeight="1">
      <c r="A3772" s="1441" t="s">
        <v>2389</v>
      </c>
      <c r="B3772" s="1442" t="s">
        <v>2390</v>
      </c>
      <c r="C3772" s="723"/>
      <c r="D3772" s="1443"/>
      <c r="E3772" s="1443"/>
      <c r="F3772" s="1443">
        <v>1</v>
      </c>
      <c r="G3772" s="723"/>
      <c r="H3772" s="728">
        <f t="shared" si="488"/>
        <v>0</v>
      </c>
      <c r="I3772" s="1430">
        <f t="shared" si="487"/>
        <v>1</v>
      </c>
      <c r="J3772" s="860">
        <f t="shared" si="489"/>
        <v>0</v>
      </c>
      <c r="K3772" s="650">
        <f t="shared" si="490"/>
        <v>0</v>
      </c>
    </row>
    <row r="3773" spans="1:11" ht="24.95" customHeight="1">
      <c r="A3773" s="1446" t="s">
        <v>2393</v>
      </c>
      <c r="B3773" s="1445" t="s">
        <v>2394</v>
      </c>
      <c r="C3773" s="723"/>
      <c r="D3773" s="1443"/>
      <c r="E3773" s="1443"/>
      <c r="F3773" s="1443"/>
      <c r="G3773" s="723"/>
      <c r="H3773" s="728" t="e">
        <f t="shared" si="488"/>
        <v>#DIV/0!</v>
      </c>
      <c r="I3773" s="1430">
        <f t="shared" si="487"/>
        <v>0</v>
      </c>
      <c r="J3773" s="860">
        <f t="shared" si="489"/>
        <v>0</v>
      </c>
      <c r="K3773" s="650" t="e">
        <f t="shared" si="490"/>
        <v>#DIV/0!</v>
      </c>
    </row>
    <row r="3774" spans="1:11" ht="24.95" customHeight="1">
      <c r="A3774" s="1444" t="s">
        <v>2395</v>
      </c>
      <c r="B3774" s="1445" t="s">
        <v>2396</v>
      </c>
      <c r="C3774" s="723"/>
      <c r="D3774" s="1443"/>
      <c r="E3774" s="1443"/>
      <c r="F3774" s="1443"/>
      <c r="G3774" s="723"/>
      <c r="H3774" s="728" t="e">
        <f t="shared" si="488"/>
        <v>#DIV/0!</v>
      </c>
      <c r="I3774" s="1430">
        <f t="shared" si="487"/>
        <v>0</v>
      </c>
      <c r="J3774" s="860">
        <f t="shared" si="489"/>
        <v>0</v>
      </c>
      <c r="K3774" s="650" t="e">
        <f t="shared" si="490"/>
        <v>#DIV/0!</v>
      </c>
    </row>
    <row r="3775" spans="1:11" ht="24.95" customHeight="1">
      <c r="A3775" s="1444" t="s">
        <v>5222</v>
      </c>
      <c r="B3775" s="1445" t="s">
        <v>6331</v>
      </c>
      <c r="C3775" s="723"/>
      <c r="D3775" s="1443"/>
      <c r="E3775" s="1443"/>
      <c r="F3775" s="1443"/>
      <c r="G3775" s="723"/>
      <c r="H3775" s="728" t="e">
        <f t="shared" si="488"/>
        <v>#DIV/0!</v>
      </c>
      <c r="I3775" s="1430">
        <f t="shared" si="487"/>
        <v>0</v>
      </c>
      <c r="J3775" s="860">
        <f t="shared" si="489"/>
        <v>0</v>
      </c>
      <c r="K3775" s="650" t="e">
        <f t="shared" si="490"/>
        <v>#DIV/0!</v>
      </c>
    </row>
    <row r="3776" spans="1:11" ht="24.95" customHeight="1">
      <c r="A3776" s="1444" t="s">
        <v>6332</v>
      </c>
      <c r="B3776" s="1445" t="s">
        <v>6333</v>
      </c>
      <c r="C3776" s="723"/>
      <c r="D3776" s="1443"/>
      <c r="E3776" s="1443"/>
      <c r="F3776" s="1443"/>
      <c r="G3776" s="723"/>
      <c r="H3776" s="728" t="e">
        <f t="shared" si="488"/>
        <v>#DIV/0!</v>
      </c>
      <c r="I3776" s="1430">
        <f t="shared" si="487"/>
        <v>0</v>
      </c>
      <c r="J3776" s="860">
        <f t="shared" si="489"/>
        <v>0</v>
      </c>
      <c r="K3776" s="650" t="e">
        <f t="shared" si="490"/>
        <v>#DIV/0!</v>
      </c>
    </row>
    <row r="3777" spans="1:11" ht="24.95" customHeight="1">
      <c r="A3777" s="416" t="s">
        <v>2401</v>
      </c>
      <c r="B3777" s="1447" t="s">
        <v>2402</v>
      </c>
      <c r="C3777" s="723"/>
      <c r="D3777" s="1443"/>
      <c r="E3777" s="1443"/>
      <c r="F3777" s="1443">
        <v>250</v>
      </c>
      <c r="G3777" s="723">
        <v>108</v>
      </c>
      <c r="H3777" s="728">
        <f t="shared" si="488"/>
        <v>0.432</v>
      </c>
      <c r="I3777" s="1430">
        <f t="shared" si="487"/>
        <v>250</v>
      </c>
      <c r="J3777" s="860">
        <f t="shared" si="489"/>
        <v>108</v>
      </c>
      <c r="K3777" s="650">
        <f t="shared" si="490"/>
        <v>0.432</v>
      </c>
    </row>
    <row r="3778" spans="1:11" ht="24.95" customHeight="1">
      <c r="A3778" s="1444" t="s">
        <v>2403</v>
      </c>
      <c r="B3778" s="1445" t="s">
        <v>6334</v>
      </c>
      <c r="C3778" s="723"/>
      <c r="D3778" s="1443"/>
      <c r="E3778" s="1443"/>
      <c r="F3778" s="1443"/>
      <c r="G3778" s="723"/>
      <c r="H3778" s="728" t="e">
        <f t="shared" si="488"/>
        <v>#DIV/0!</v>
      </c>
      <c r="I3778" s="1430">
        <f t="shared" si="487"/>
        <v>0</v>
      </c>
      <c r="J3778" s="860">
        <f t="shared" si="489"/>
        <v>0</v>
      </c>
      <c r="K3778" s="650" t="e">
        <f t="shared" si="490"/>
        <v>#DIV/0!</v>
      </c>
    </row>
    <row r="3779" spans="1:11" ht="24.95" customHeight="1">
      <c r="A3779" s="1448" t="s">
        <v>2417</v>
      </c>
      <c r="B3779" s="1449" t="s">
        <v>6335</v>
      </c>
      <c r="C3779" s="723"/>
      <c r="D3779" s="1443"/>
      <c r="E3779" s="1443"/>
      <c r="F3779" s="1443">
        <v>120</v>
      </c>
      <c r="G3779" s="723">
        <v>50</v>
      </c>
      <c r="H3779" s="728">
        <f t="shared" si="488"/>
        <v>0.41666666666666669</v>
      </c>
      <c r="I3779" s="1430">
        <f t="shared" si="487"/>
        <v>120</v>
      </c>
      <c r="J3779" s="860">
        <f t="shared" si="489"/>
        <v>50</v>
      </c>
      <c r="K3779" s="650">
        <f t="shared" si="490"/>
        <v>0.41666666666666669</v>
      </c>
    </row>
    <row r="3780" spans="1:11" ht="24.95" customHeight="1">
      <c r="A3780" s="1448">
        <v>262004</v>
      </c>
      <c r="B3780" s="1449" t="s">
        <v>6336</v>
      </c>
      <c r="C3780" s="723"/>
      <c r="D3780" s="1443"/>
      <c r="E3780" s="1443"/>
      <c r="F3780" s="1443"/>
      <c r="G3780" s="723"/>
      <c r="H3780" s="728" t="e">
        <f t="shared" si="488"/>
        <v>#DIV/0!</v>
      </c>
      <c r="I3780" s="1430">
        <f t="shared" si="487"/>
        <v>0</v>
      </c>
      <c r="J3780" s="860">
        <f t="shared" si="489"/>
        <v>0</v>
      </c>
      <c r="K3780" s="650" t="e">
        <f t="shared" si="490"/>
        <v>#DIV/0!</v>
      </c>
    </row>
    <row r="3781" spans="1:11" ht="24.95" customHeight="1">
      <c r="A3781" s="1448" t="s">
        <v>3555</v>
      </c>
      <c r="B3781" s="1449" t="s">
        <v>3556</v>
      </c>
      <c r="C3781" s="723"/>
      <c r="D3781" s="1443"/>
      <c r="E3781" s="1443"/>
      <c r="F3781" s="1443">
        <v>10</v>
      </c>
      <c r="G3781" s="723">
        <v>1</v>
      </c>
      <c r="H3781" s="728">
        <f t="shared" si="488"/>
        <v>0.1</v>
      </c>
      <c r="I3781" s="1430">
        <f t="shared" si="487"/>
        <v>10</v>
      </c>
      <c r="J3781" s="860">
        <f t="shared" si="489"/>
        <v>1</v>
      </c>
      <c r="K3781" s="650">
        <f t="shared" si="490"/>
        <v>0.1</v>
      </c>
    </row>
    <row r="3782" spans="1:11" ht="24.95" customHeight="1">
      <c r="A3782" s="1444" t="s">
        <v>2423</v>
      </c>
      <c r="B3782" s="1447" t="s">
        <v>2424</v>
      </c>
      <c r="C3782" s="723"/>
      <c r="D3782" s="1443"/>
      <c r="E3782" s="1443"/>
      <c r="F3782" s="1443">
        <v>180</v>
      </c>
      <c r="G3782" s="723">
        <v>115</v>
      </c>
      <c r="H3782" s="728">
        <f t="shared" si="488"/>
        <v>0.63888888888888884</v>
      </c>
      <c r="I3782" s="1430">
        <f t="shared" si="487"/>
        <v>180</v>
      </c>
      <c r="J3782" s="860">
        <f t="shared" si="489"/>
        <v>115</v>
      </c>
      <c r="K3782" s="650">
        <f t="shared" si="490"/>
        <v>0.63888888888888884</v>
      </c>
    </row>
    <row r="3783" spans="1:11" ht="24.95" customHeight="1">
      <c r="A3783" s="1444">
        <v>320034</v>
      </c>
      <c r="B3783" s="1445" t="s">
        <v>6337</v>
      </c>
      <c r="C3783" s="723"/>
      <c r="D3783" s="1443"/>
      <c r="E3783" s="1443"/>
      <c r="F3783" s="1443"/>
      <c r="G3783" s="723"/>
      <c r="H3783" s="728" t="e">
        <f t="shared" si="488"/>
        <v>#DIV/0!</v>
      </c>
      <c r="I3783" s="1430">
        <f t="shared" si="487"/>
        <v>0</v>
      </c>
      <c r="J3783" s="860">
        <f t="shared" si="489"/>
        <v>0</v>
      </c>
      <c r="K3783" s="650" t="e">
        <f t="shared" si="490"/>
        <v>#DIV/0!</v>
      </c>
    </row>
    <row r="3784" spans="1:11" ht="24.95" customHeight="1">
      <c r="A3784" s="1444" t="s">
        <v>2427</v>
      </c>
      <c r="B3784" s="1445" t="s">
        <v>2428</v>
      </c>
      <c r="C3784" s="723"/>
      <c r="D3784" s="1443"/>
      <c r="E3784" s="1443"/>
      <c r="F3784" s="1443">
        <v>0</v>
      </c>
      <c r="G3784" s="723"/>
      <c r="H3784" s="728" t="e">
        <f t="shared" si="488"/>
        <v>#DIV/0!</v>
      </c>
      <c r="I3784" s="1430">
        <f t="shared" si="487"/>
        <v>0</v>
      </c>
      <c r="J3784" s="860">
        <f t="shared" si="489"/>
        <v>0</v>
      </c>
      <c r="K3784" s="650" t="e">
        <f t="shared" si="490"/>
        <v>#DIV/0!</v>
      </c>
    </row>
    <row r="3785" spans="1:11" ht="24.95" customHeight="1">
      <c r="A3785" s="1444" t="s">
        <v>2429</v>
      </c>
      <c r="B3785" s="1445" t="s">
        <v>2430</v>
      </c>
      <c r="C3785" s="723"/>
      <c r="D3785" s="1443"/>
      <c r="E3785" s="1443"/>
      <c r="F3785" s="1443">
        <v>90</v>
      </c>
      <c r="G3785" s="723">
        <v>26</v>
      </c>
      <c r="H3785" s="728">
        <f t="shared" si="488"/>
        <v>0.28888888888888886</v>
      </c>
      <c r="I3785" s="1430">
        <f t="shared" si="487"/>
        <v>90</v>
      </c>
      <c r="J3785" s="860">
        <f t="shared" si="489"/>
        <v>26</v>
      </c>
      <c r="K3785" s="650">
        <f t="shared" si="490"/>
        <v>0.28888888888888886</v>
      </c>
    </row>
    <row r="3786" spans="1:11" ht="24.95" customHeight="1">
      <c r="A3786" s="1450" t="s">
        <v>2433</v>
      </c>
      <c r="B3786" s="1451" t="s">
        <v>2434</v>
      </c>
      <c r="C3786" s="723"/>
      <c r="D3786" s="1443"/>
      <c r="E3786" s="1443"/>
      <c r="F3786" s="1443">
        <v>2700</v>
      </c>
      <c r="G3786" s="723">
        <v>1187</v>
      </c>
      <c r="H3786" s="728">
        <f t="shared" si="488"/>
        <v>0.43962962962962965</v>
      </c>
      <c r="I3786" s="1430">
        <f t="shared" si="487"/>
        <v>2700</v>
      </c>
      <c r="J3786" s="860">
        <f t="shared" si="489"/>
        <v>1187</v>
      </c>
      <c r="K3786" s="650">
        <f t="shared" si="490"/>
        <v>0.43962962962962965</v>
      </c>
    </row>
    <row r="3787" spans="1:11" ht="24.95" customHeight="1">
      <c r="A3787" s="1452" t="s">
        <v>2435</v>
      </c>
      <c r="B3787" s="1453" t="s">
        <v>2436</v>
      </c>
      <c r="C3787" s="723"/>
      <c r="D3787" s="1443"/>
      <c r="E3787" s="1443"/>
      <c r="F3787" s="1443">
        <v>220</v>
      </c>
      <c r="G3787" s="723">
        <v>87</v>
      </c>
      <c r="H3787" s="728">
        <f t="shared" si="488"/>
        <v>0.39545454545454545</v>
      </c>
      <c r="I3787" s="1430">
        <f t="shared" si="487"/>
        <v>220</v>
      </c>
      <c r="J3787" s="860">
        <f t="shared" si="489"/>
        <v>87</v>
      </c>
      <c r="K3787" s="650">
        <f t="shared" si="490"/>
        <v>0.39545454545454545</v>
      </c>
    </row>
    <row r="3788" spans="1:11" ht="24.95" customHeight="1">
      <c r="A3788" s="1444" t="s">
        <v>2437</v>
      </c>
      <c r="B3788" s="1445" t="s">
        <v>2438</v>
      </c>
      <c r="C3788" s="723"/>
      <c r="D3788" s="1443"/>
      <c r="E3788" s="1443"/>
      <c r="F3788" s="1443">
        <v>100</v>
      </c>
      <c r="G3788" s="723">
        <v>5</v>
      </c>
      <c r="H3788" s="728">
        <f t="shared" si="488"/>
        <v>0.05</v>
      </c>
      <c r="I3788" s="1430">
        <f t="shared" si="487"/>
        <v>100</v>
      </c>
      <c r="J3788" s="860">
        <f t="shared" si="489"/>
        <v>5</v>
      </c>
      <c r="K3788" s="650">
        <f t="shared" si="490"/>
        <v>0.05</v>
      </c>
    </row>
    <row r="3789" spans="1:11" ht="24.95" customHeight="1">
      <c r="A3789" s="1444" t="s">
        <v>2439</v>
      </c>
      <c r="B3789" s="1445" t="s">
        <v>2440</v>
      </c>
      <c r="C3789" s="723"/>
      <c r="D3789" s="1443"/>
      <c r="E3789" s="1443"/>
      <c r="F3789" s="1454">
        <v>10</v>
      </c>
      <c r="G3789" s="724">
        <v>1</v>
      </c>
      <c r="H3789" s="728">
        <f t="shared" si="488"/>
        <v>0.1</v>
      </c>
      <c r="I3789" s="1430">
        <f t="shared" si="487"/>
        <v>10</v>
      </c>
      <c r="J3789" s="860">
        <f t="shared" si="489"/>
        <v>1</v>
      </c>
      <c r="K3789" s="650">
        <f t="shared" si="490"/>
        <v>0.1</v>
      </c>
    </row>
    <row r="3790" spans="1:11" ht="24.95" customHeight="1">
      <c r="A3790" s="1444" t="s">
        <v>3192</v>
      </c>
      <c r="B3790" s="1453" t="s">
        <v>2897</v>
      </c>
      <c r="C3790" s="723"/>
      <c r="D3790" s="1443"/>
      <c r="E3790" s="1443"/>
      <c r="F3790" s="1454">
        <v>200</v>
      </c>
      <c r="G3790" s="724">
        <v>87</v>
      </c>
      <c r="H3790" s="728">
        <f t="shared" si="488"/>
        <v>0.435</v>
      </c>
      <c r="I3790" s="1430">
        <f t="shared" si="487"/>
        <v>200</v>
      </c>
      <c r="J3790" s="860">
        <f t="shared" si="489"/>
        <v>87</v>
      </c>
      <c r="K3790" s="650">
        <f t="shared" si="490"/>
        <v>0.435</v>
      </c>
    </row>
    <row r="3791" spans="1:11" ht="24.95" customHeight="1">
      <c r="A3791" s="1444" t="s">
        <v>2449</v>
      </c>
      <c r="B3791" s="1445" t="s">
        <v>2450</v>
      </c>
      <c r="C3791" s="723"/>
      <c r="D3791" s="1443"/>
      <c r="E3791" s="1443"/>
      <c r="F3791" s="1454">
        <v>30</v>
      </c>
      <c r="G3791" s="724"/>
      <c r="H3791" s="728">
        <f t="shared" si="488"/>
        <v>0</v>
      </c>
      <c r="I3791" s="1430">
        <f t="shared" si="487"/>
        <v>30</v>
      </c>
      <c r="J3791" s="860">
        <f t="shared" si="489"/>
        <v>0</v>
      </c>
      <c r="K3791" s="650">
        <f t="shared" si="490"/>
        <v>0</v>
      </c>
    </row>
    <row r="3792" spans="1:11" ht="24.95" customHeight="1">
      <c r="A3792" s="1444" t="s">
        <v>2451</v>
      </c>
      <c r="B3792" s="1445" t="s">
        <v>2452</v>
      </c>
      <c r="C3792" s="723"/>
      <c r="D3792" s="1443"/>
      <c r="E3792" s="1443"/>
      <c r="F3792" s="1454">
        <v>250</v>
      </c>
      <c r="G3792" s="724">
        <v>56</v>
      </c>
      <c r="H3792" s="728">
        <f t="shared" si="488"/>
        <v>0.224</v>
      </c>
      <c r="I3792" s="1430">
        <f t="shared" si="487"/>
        <v>250</v>
      </c>
      <c r="J3792" s="860">
        <f t="shared" si="489"/>
        <v>56</v>
      </c>
      <c r="K3792" s="650">
        <f t="shared" si="490"/>
        <v>0.224</v>
      </c>
    </row>
    <row r="3793" spans="1:11" ht="24.95" customHeight="1">
      <c r="A3793" s="1444" t="s">
        <v>2453</v>
      </c>
      <c r="B3793" s="1445" t="s">
        <v>3706</v>
      </c>
      <c r="C3793" s="723"/>
      <c r="D3793" s="1443"/>
      <c r="E3793" s="1443"/>
      <c r="F3793" s="1454"/>
      <c r="G3793" s="724"/>
      <c r="H3793" s="728" t="e">
        <f t="shared" si="488"/>
        <v>#DIV/0!</v>
      </c>
      <c r="I3793" s="1430">
        <f t="shared" si="487"/>
        <v>0</v>
      </c>
      <c r="J3793" s="860">
        <f t="shared" si="489"/>
        <v>0</v>
      </c>
      <c r="K3793" s="650" t="e">
        <f t="shared" si="490"/>
        <v>#DIV/0!</v>
      </c>
    </row>
    <row r="3794" spans="1:11" ht="24.95" customHeight="1">
      <c r="A3794" s="1444" t="s">
        <v>2455</v>
      </c>
      <c r="B3794" s="1445" t="s">
        <v>2456</v>
      </c>
      <c r="C3794" s="723"/>
      <c r="D3794" s="1443"/>
      <c r="E3794" s="1443"/>
      <c r="F3794" s="1454">
        <v>370</v>
      </c>
      <c r="G3794" s="724">
        <v>258</v>
      </c>
      <c r="H3794" s="728">
        <f t="shared" si="488"/>
        <v>0.69729729729729728</v>
      </c>
      <c r="I3794" s="1430">
        <f t="shared" si="487"/>
        <v>370</v>
      </c>
      <c r="J3794" s="860">
        <f t="shared" si="489"/>
        <v>258</v>
      </c>
      <c r="K3794" s="650">
        <f t="shared" si="490"/>
        <v>0.69729729729729728</v>
      </c>
    </row>
    <row r="3795" spans="1:11" ht="24.95" customHeight="1">
      <c r="A3795" s="1444" t="s">
        <v>2457</v>
      </c>
      <c r="B3795" s="1445" t="s">
        <v>2458</v>
      </c>
      <c r="C3795" s="723"/>
      <c r="D3795" s="1443"/>
      <c r="E3795" s="1443"/>
      <c r="F3795" s="1454">
        <v>1</v>
      </c>
      <c r="G3795" s="724"/>
      <c r="H3795" s="728">
        <f t="shared" si="488"/>
        <v>0</v>
      </c>
      <c r="I3795" s="1430">
        <f t="shared" si="487"/>
        <v>1</v>
      </c>
      <c r="J3795" s="860">
        <f t="shared" si="489"/>
        <v>0</v>
      </c>
      <c r="K3795" s="650">
        <f t="shared" si="490"/>
        <v>0</v>
      </c>
    </row>
    <row r="3796" spans="1:11" ht="24.95" customHeight="1">
      <c r="A3796" s="1444" t="s">
        <v>2469</v>
      </c>
      <c r="B3796" s="1445" t="s">
        <v>2470</v>
      </c>
      <c r="C3796" s="723"/>
      <c r="D3796" s="1443"/>
      <c r="E3796" s="1443"/>
      <c r="F3796" s="1443"/>
      <c r="G3796" s="723"/>
      <c r="H3796" s="728" t="e">
        <f t="shared" si="488"/>
        <v>#DIV/0!</v>
      </c>
      <c r="I3796" s="1430">
        <f t="shared" si="487"/>
        <v>0</v>
      </c>
      <c r="J3796" s="860">
        <f t="shared" si="489"/>
        <v>0</v>
      </c>
      <c r="K3796" s="650" t="e">
        <f t="shared" si="490"/>
        <v>#DIV/0!</v>
      </c>
    </row>
    <row r="3797" spans="1:11" ht="24.95" customHeight="1">
      <c r="A3797" s="1444" t="s">
        <v>2469</v>
      </c>
      <c r="B3797" s="1445" t="s">
        <v>2470</v>
      </c>
      <c r="C3797" s="723"/>
      <c r="D3797" s="1443"/>
      <c r="E3797" s="1443"/>
      <c r="F3797" s="1443"/>
      <c r="G3797" s="723"/>
      <c r="H3797" s="728" t="e">
        <f t="shared" si="488"/>
        <v>#DIV/0!</v>
      </c>
      <c r="I3797" s="1430">
        <f t="shared" si="487"/>
        <v>0</v>
      </c>
      <c r="J3797" s="860">
        <f t="shared" si="489"/>
        <v>0</v>
      </c>
      <c r="K3797" s="650" t="e">
        <f t="shared" si="490"/>
        <v>#DIV/0!</v>
      </c>
    </row>
    <row r="3798" spans="1:11" ht="24.95" customHeight="1">
      <c r="A3798" s="1444" t="s">
        <v>2908</v>
      </c>
      <c r="B3798" s="1445" t="s">
        <v>3712</v>
      </c>
      <c r="C3798" s="723"/>
      <c r="D3798" s="1443"/>
      <c r="E3798" s="1443"/>
      <c r="F3798" s="1443">
        <v>5</v>
      </c>
      <c r="G3798" s="723">
        <v>4</v>
      </c>
      <c r="H3798" s="728">
        <f t="shared" si="488"/>
        <v>0.8</v>
      </c>
      <c r="I3798" s="1430">
        <f t="shared" si="487"/>
        <v>5</v>
      </c>
      <c r="J3798" s="860">
        <f t="shared" si="489"/>
        <v>4</v>
      </c>
      <c r="K3798" s="650">
        <f t="shared" si="490"/>
        <v>0.8</v>
      </c>
    </row>
    <row r="3799" spans="1:11" ht="24.95" customHeight="1">
      <c r="A3799" s="1444" t="s">
        <v>2477</v>
      </c>
      <c r="B3799" s="1445" t="s">
        <v>6338</v>
      </c>
      <c r="C3799" s="723"/>
      <c r="D3799" s="1443"/>
      <c r="E3799" s="1443"/>
      <c r="F3799" s="1443">
        <v>5</v>
      </c>
      <c r="G3799" s="723">
        <v>1</v>
      </c>
      <c r="H3799" s="728">
        <f t="shared" si="488"/>
        <v>0.2</v>
      </c>
      <c r="I3799" s="1430">
        <f t="shared" si="487"/>
        <v>5</v>
      </c>
      <c r="J3799" s="860">
        <f t="shared" si="489"/>
        <v>1</v>
      </c>
      <c r="K3799" s="650">
        <f t="shared" si="490"/>
        <v>0.2</v>
      </c>
    </row>
    <row r="3800" spans="1:11" ht="24.95" customHeight="1">
      <c r="A3800" s="1444" t="s">
        <v>3135</v>
      </c>
      <c r="B3800" s="1445" t="s">
        <v>6339</v>
      </c>
      <c r="C3800" s="723"/>
      <c r="D3800" s="1443"/>
      <c r="E3800" s="1443"/>
      <c r="F3800" s="1443">
        <v>1735</v>
      </c>
      <c r="G3800" s="723">
        <v>634</v>
      </c>
      <c r="H3800" s="728">
        <f t="shared" si="488"/>
        <v>0.36541786743515853</v>
      </c>
      <c r="I3800" s="1430">
        <f t="shared" si="487"/>
        <v>1735</v>
      </c>
      <c r="J3800" s="860">
        <f t="shared" si="489"/>
        <v>634</v>
      </c>
      <c r="K3800" s="650">
        <f t="shared" si="490"/>
        <v>0.36541786743515853</v>
      </c>
    </row>
    <row r="3801" spans="1:11" ht="24.95" customHeight="1">
      <c r="A3801" s="1444" t="s">
        <v>5136</v>
      </c>
      <c r="B3801" s="1455" t="s">
        <v>5137</v>
      </c>
      <c r="C3801" s="723"/>
      <c r="D3801" s="1443"/>
      <c r="E3801" s="1443"/>
      <c r="F3801" s="1443"/>
      <c r="G3801" s="723"/>
      <c r="H3801" s="728" t="e">
        <f t="shared" si="488"/>
        <v>#DIV/0!</v>
      </c>
      <c r="I3801" s="1430">
        <f t="shared" si="487"/>
        <v>0</v>
      </c>
      <c r="J3801" s="860">
        <f t="shared" si="489"/>
        <v>0</v>
      </c>
      <c r="K3801" s="650" t="e">
        <f t="shared" si="490"/>
        <v>#DIV/0!</v>
      </c>
    </row>
    <row r="3802" spans="1:11" ht="24.95" customHeight="1">
      <c r="A3802" s="1444" t="s">
        <v>2607</v>
      </c>
      <c r="B3802" s="1456" t="s">
        <v>2608</v>
      </c>
      <c r="C3802" s="723"/>
      <c r="D3802" s="1443"/>
      <c r="E3802" s="1443"/>
      <c r="F3802" s="1443"/>
      <c r="G3802" s="723"/>
      <c r="H3802" s="728" t="e">
        <f t="shared" si="488"/>
        <v>#DIV/0!</v>
      </c>
      <c r="I3802" s="1430">
        <f t="shared" si="487"/>
        <v>0</v>
      </c>
      <c r="J3802" s="860">
        <f t="shared" si="489"/>
        <v>0</v>
      </c>
      <c r="K3802" s="650" t="e">
        <f t="shared" si="490"/>
        <v>#DIV/0!</v>
      </c>
    </row>
    <row r="3803" spans="1:11" ht="24.95" customHeight="1">
      <c r="A3803" s="1444" t="s">
        <v>3738</v>
      </c>
      <c r="B3803" s="1456" t="s">
        <v>6340</v>
      </c>
      <c r="C3803" s="723"/>
      <c r="D3803" s="1443"/>
      <c r="E3803" s="1443"/>
      <c r="F3803" s="1443">
        <v>30</v>
      </c>
      <c r="G3803" s="723">
        <v>50</v>
      </c>
      <c r="H3803" s="728">
        <f t="shared" si="488"/>
        <v>1.6666666666666667</v>
      </c>
      <c r="I3803" s="1430">
        <f t="shared" si="487"/>
        <v>30</v>
      </c>
      <c r="J3803" s="860">
        <f t="shared" si="489"/>
        <v>50</v>
      </c>
      <c r="K3803" s="650">
        <f t="shared" si="490"/>
        <v>1.6666666666666667</v>
      </c>
    </row>
    <row r="3804" spans="1:11" ht="24.95" customHeight="1">
      <c r="A3804" s="1444" t="s">
        <v>2613</v>
      </c>
      <c r="B3804" s="1456" t="s">
        <v>3860</v>
      </c>
      <c r="C3804" s="723"/>
      <c r="D3804" s="1443"/>
      <c r="E3804" s="1443"/>
      <c r="F3804" s="1443">
        <v>220</v>
      </c>
      <c r="G3804" s="723"/>
      <c r="H3804" s="728">
        <f t="shared" si="488"/>
        <v>0</v>
      </c>
      <c r="I3804" s="1430">
        <f t="shared" si="487"/>
        <v>220</v>
      </c>
      <c r="J3804" s="860">
        <f t="shared" si="489"/>
        <v>0</v>
      </c>
      <c r="K3804" s="650">
        <f t="shared" si="490"/>
        <v>0</v>
      </c>
    </row>
    <row r="3805" spans="1:11" ht="24.95" customHeight="1">
      <c r="A3805" s="1444" t="s">
        <v>2959</v>
      </c>
      <c r="B3805" s="1455" t="s">
        <v>2960</v>
      </c>
      <c r="C3805" s="723"/>
      <c r="D3805" s="1443"/>
      <c r="E3805" s="1443"/>
      <c r="F3805" s="1443">
        <v>0</v>
      </c>
      <c r="G3805" s="723"/>
      <c r="H3805" s="728" t="e">
        <f t="shared" si="488"/>
        <v>#DIV/0!</v>
      </c>
      <c r="I3805" s="1430">
        <f t="shared" si="487"/>
        <v>0</v>
      </c>
      <c r="J3805" s="860">
        <f t="shared" si="489"/>
        <v>0</v>
      </c>
      <c r="K3805" s="650" t="e">
        <f t="shared" si="490"/>
        <v>#DIV/0!</v>
      </c>
    </row>
    <row r="3806" spans="1:11" ht="24.95" customHeight="1">
      <c r="A3806" s="1444" t="s">
        <v>3201</v>
      </c>
      <c r="B3806" s="1455" t="s">
        <v>3202</v>
      </c>
      <c r="C3806" s="723"/>
      <c r="D3806" s="1443"/>
      <c r="E3806" s="1443"/>
      <c r="F3806" s="1443">
        <v>2</v>
      </c>
      <c r="G3806" s="723"/>
      <c r="H3806" s="728">
        <f t="shared" si="488"/>
        <v>0</v>
      </c>
      <c r="I3806" s="1430">
        <f t="shared" si="487"/>
        <v>2</v>
      </c>
      <c r="J3806" s="860">
        <f t="shared" si="489"/>
        <v>0</v>
      </c>
      <c r="K3806" s="650">
        <f t="shared" si="490"/>
        <v>0</v>
      </c>
    </row>
    <row r="3807" spans="1:11" ht="24.95" customHeight="1">
      <c r="A3807" s="1444" t="s">
        <v>2176</v>
      </c>
      <c r="B3807" s="1455" t="s">
        <v>2177</v>
      </c>
      <c r="C3807" s="723"/>
      <c r="D3807" s="1443"/>
      <c r="E3807" s="1443"/>
      <c r="F3807" s="1443">
        <v>7</v>
      </c>
      <c r="G3807" s="723"/>
      <c r="H3807" s="728">
        <f t="shared" si="488"/>
        <v>0</v>
      </c>
      <c r="I3807" s="1430">
        <f t="shared" si="487"/>
        <v>7</v>
      </c>
      <c r="J3807" s="860">
        <f t="shared" si="489"/>
        <v>0</v>
      </c>
      <c r="K3807" s="650">
        <f t="shared" si="490"/>
        <v>0</v>
      </c>
    </row>
    <row r="3808" spans="1:11" ht="24.95" customHeight="1">
      <c r="A3808" s="1444" t="s">
        <v>2620</v>
      </c>
      <c r="B3808" s="1445" t="s">
        <v>2621</v>
      </c>
      <c r="C3808" s="723"/>
      <c r="D3808" s="1443"/>
      <c r="E3808" s="1443"/>
      <c r="F3808" s="1443">
        <v>70</v>
      </c>
      <c r="G3808" s="723">
        <v>7</v>
      </c>
      <c r="H3808" s="728">
        <f t="shared" si="488"/>
        <v>0.1</v>
      </c>
      <c r="I3808" s="1430">
        <f t="shared" si="487"/>
        <v>70</v>
      </c>
      <c r="J3808" s="860">
        <f t="shared" si="489"/>
        <v>7</v>
      </c>
      <c r="K3808" s="650">
        <f t="shared" si="490"/>
        <v>0.1</v>
      </c>
    </row>
    <row r="3809" spans="1:11" ht="24.95" customHeight="1">
      <c r="A3809" s="1444" t="s">
        <v>2329</v>
      </c>
      <c r="B3809" s="1445" t="s">
        <v>6341</v>
      </c>
      <c r="C3809" s="723"/>
      <c r="D3809" s="1443"/>
      <c r="E3809" s="1443"/>
      <c r="F3809" s="1443">
        <v>0</v>
      </c>
      <c r="G3809" s="723"/>
      <c r="H3809" s="728" t="e">
        <f t="shared" si="488"/>
        <v>#DIV/0!</v>
      </c>
      <c r="I3809" s="1430">
        <f t="shared" si="487"/>
        <v>0</v>
      </c>
      <c r="J3809" s="860">
        <f t="shared" si="489"/>
        <v>0</v>
      </c>
      <c r="K3809" s="650" t="e">
        <f t="shared" si="490"/>
        <v>#DIV/0!</v>
      </c>
    </row>
    <row r="3810" spans="1:11" ht="24.95" customHeight="1">
      <c r="A3810" s="1444" t="s">
        <v>2624</v>
      </c>
      <c r="B3810" s="1445" t="s">
        <v>2330</v>
      </c>
      <c r="C3810" s="723"/>
      <c r="D3810" s="1443"/>
      <c r="E3810" s="1443"/>
      <c r="F3810" s="1443">
        <v>1</v>
      </c>
      <c r="G3810" s="723"/>
      <c r="H3810" s="728">
        <f t="shared" si="488"/>
        <v>0</v>
      </c>
      <c r="I3810" s="1430">
        <f t="shared" si="487"/>
        <v>1</v>
      </c>
      <c r="J3810" s="860">
        <f t="shared" si="489"/>
        <v>0</v>
      </c>
      <c r="K3810" s="650">
        <f t="shared" si="490"/>
        <v>0</v>
      </c>
    </row>
    <row r="3811" spans="1:11" ht="24.95" customHeight="1">
      <c r="A3811" s="1444" t="s">
        <v>2331</v>
      </c>
      <c r="B3811" s="1445" t="s">
        <v>2332</v>
      </c>
      <c r="C3811" s="723"/>
      <c r="D3811" s="1443"/>
      <c r="E3811" s="1443"/>
      <c r="F3811" s="1443">
        <v>1</v>
      </c>
      <c r="G3811" s="723">
        <v>1</v>
      </c>
      <c r="H3811" s="728">
        <f t="shared" si="488"/>
        <v>1</v>
      </c>
      <c r="I3811" s="1430">
        <f t="shared" si="487"/>
        <v>1</v>
      </c>
      <c r="J3811" s="860">
        <f t="shared" si="489"/>
        <v>1</v>
      </c>
      <c r="K3811" s="650">
        <f t="shared" si="490"/>
        <v>1</v>
      </c>
    </row>
    <row r="3812" spans="1:11" ht="24.95" customHeight="1">
      <c r="A3812" s="1444" t="s">
        <v>2627</v>
      </c>
      <c r="B3812" s="1445" t="s">
        <v>2628</v>
      </c>
      <c r="C3812" s="723"/>
      <c r="D3812" s="1443"/>
      <c r="E3812" s="1443"/>
      <c r="F3812" s="1443">
        <v>2</v>
      </c>
      <c r="G3812" s="723"/>
      <c r="H3812" s="728">
        <f t="shared" si="488"/>
        <v>0</v>
      </c>
      <c r="I3812" s="1430">
        <f t="shared" si="487"/>
        <v>2</v>
      </c>
      <c r="J3812" s="860">
        <f t="shared" si="489"/>
        <v>0</v>
      </c>
      <c r="K3812" s="650">
        <f t="shared" si="490"/>
        <v>0</v>
      </c>
    </row>
    <row r="3813" spans="1:11" ht="24.95" customHeight="1">
      <c r="A3813" s="1444" t="s">
        <v>2629</v>
      </c>
      <c r="B3813" s="1445" t="s">
        <v>2630</v>
      </c>
      <c r="C3813" s="723"/>
      <c r="D3813" s="1443"/>
      <c r="E3813" s="1443"/>
      <c r="F3813" s="1443">
        <v>5</v>
      </c>
      <c r="G3813" s="723">
        <v>1</v>
      </c>
      <c r="H3813" s="728">
        <f t="shared" si="488"/>
        <v>0.2</v>
      </c>
      <c r="I3813" s="1430">
        <f t="shared" si="487"/>
        <v>5</v>
      </c>
      <c r="J3813" s="860">
        <f t="shared" si="489"/>
        <v>1</v>
      </c>
      <c r="K3813" s="650">
        <f t="shared" si="490"/>
        <v>0.2</v>
      </c>
    </row>
    <row r="3814" spans="1:11" ht="24.95" customHeight="1">
      <c r="A3814" s="1444" t="s">
        <v>2631</v>
      </c>
      <c r="B3814" s="1445" t="s">
        <v>2632</v>
      </c>
      <c r="C3814" s="723"/>
      <c r="D3814" s="1443"/>
      <c r="E3814" s="1443"/>
      <c r="F3814" s="1443">
        <v>20</v>
      </c>
      <c r="G3814" s="723">
        <v>2</v>
      </c>
      <c r="H3814" s="728">
        <f t="shared" si="488"/>
        <v>0.1</v>
      </c>
      <c r="I3814" s="1430">
        <f t="shared" si="487"/>
        <v>20</v>
      </c>
      <c r="J3814" s="860">
        <f t="shared" si="489"/>
        <v>2</v>
      </c>
      <c r="K3814" s="650">
        <f t="shared" si="490"/>
        <v>0.1</v>
      </c>
    </row>
    <row r="3815" spans="1:11" ht="24.95" customHeight="1">
      <c r="A3815" s="416" t="s">
        <v>2178</v>
      </c>
      <c r="B3815" s="422" t="s">
        <v>2179</v>
      </c>
      <c r="C3815" s="723"/>
      <c r="D3815" s="1443"/>
      <c r="E3815" s="1443"/>
      <c r="F3815" s="1443">
        <v>20</v>
      </c>
      <c r="G3815" s="723">
        <v>6</v>
      </c>
      <c r="H3815" s="728">
        <f t="shared" si="488"/>
        <v>0.3</v>
      </c>
      <c r="I3815" s="1430">
        <f t="shared" si="487"/>
        <v>20</v>
      </c>
      <c r="J3815" s="860">
        <f t="shared" si="489"/>
        <v>6</v>
      </c>
      <c r="K3815" s="650">
        <f t="shared" si="490"/>
        <v>0.3</v>
      </c>
    </row>
    <row r="3816" spans="1:11" ht="24.95" customHeight="1">
      <c r="A3816" s="416" t="s">
        <v>2963</v>
      </c>
      <c r="B3816" s="422" t="s">
        <v>6342</v>
      </c>
      <c r="C3816" s="723"/>
      <c r="D3816" s="1443"/>
      <c r="E3816" s="1443"/>
      <c r="F3816" s="1443">
        <v>1</v>
      </c>
      <c r="G3816" s="723"/>
      <c r="H3816" s="728">
        <f t="shared" si="488"/>
        <v>0</v>
      </c>
      <c r="I3816" s="1430">
        <f t="shared" si="487"/>
        <v>1</v>
      </c>
      <c r="J3816" s="860">
        <f t="shared" si="489"/>
        <v>0</v>
      </c>
      <c r="K3816" s="650">
        <f t="shared" si="490"/>
        <v>0</v>
      </c>
    </row>
    <row r="3817" spans="1:11" ht="24.95" customHeight="1">
      <c r="A3817" s="416" t="s">
        <v>2633</v>
      </c>
      <c r="B3817" s="422" t="s">
        <v>2965</v>
      </c>
      <c r="C3817" s="723"/>
      <c r="D3817" s="1443"/>
      <c r="E3817" s="1443"/>
      <c r="F3817" s="1443">
        <v>25</v>
      </c>
      <c r="G3817" s="723">
        <v>49</v>
      </c>
      <c r="H3817" s="728">
        <f t="shared" si="488"/>
        <v>1.96</v>
      </c>
      <c r="I3817" s="1430">
        <f t="shared" si="487"/>
        <v>25</v>
      </c>
      <c r="J3817" s="860">
        <f t="shared" si="489"/>
        <v>49</v>
      </c>
      <c r="K3817" s="650">
        <f t="shared" si="490"/>
        <v>1.96</v>
      </c>
    </row>
    <row r="3818" spans="1:11" ht="24.95" customHeight="1">
      <c r="A3818" s="416" t="s">
        <v>2967</v>
      </c>
      <c r="B3818" s="1445" t="s">
        <v>2968</v>
      </c>
      <c r="C3818" s="723"/>
      <c r="D3818" s="1443"/>
      <c r="E3818" s="1443"/>
      <c r="F3818" s="1454">
        <v>820</v>
      </c>
      <c r="G3818" s="724">
        <v>136</v>
      </c>
      <c r="H3818" s="728">
        <f t="shared" si="488"/>
        <v>0.16585365853658537</v>
      </c>
      <c r="I3818" s="1430">
        <f t="shared" si="487"/>
        <v>820</v>
      </c>
      <c r="J3818" s="860">
        <f t="shared" si="489"/>
        <v>136</v>
      </c>
      <c r="K3818" s="650">
        <f t="shared" si="490"/>
        <v>0.16585365853658537</v>
      </c>
    </row>
    <row r="3819" spans="1:11" ht="24.95" customHeight="1">
      <c r="A3819" s="1444" t="s">
        <v>2637</v>
      </c>
      <c r="B3819" s="1445" t="s">
        <v>2638</v>
      </c>
      <c r="C3819" s="723"/>
      <c r="D3819" s="1443"/>
      <c r="E3819" s="1443"/>
      <c r="F3819" s="1454">
        <v>55</v>
      </c>
      <c r="G3819" s="724">
        <v>77</v>
      </c>
      <c r="H3819" s="728">
        <f t="shared" si="488"/>
        <v>1.4</v>
      </c>
      <c r="I3819" s="1430">
        <f t="shared" si="487"/>
        <v>55</v>
      </c>
      <c r="J3819" s="860">
        <f t="shared" si="489"/>
        <v>77</v>
      </c>
      <c r="K3819" s="650">
        <f t="shared" si="490"/>
        <v>1.4</v>
      </c>
    </row>
    <row r="3820" spans="1:11" ht="24.95" customHeight="1">
      <c r="A3820" s="1444" t="s">
        <v>6271</v>
      </c>
      <c r="B3820" s="1445" t="s">
        <v>6343</v>
      </c>
      <c r="C3820" s="723"/>
      <c r="D3820" s="1443"/>
      <c r="E3820" s="1443"/>
      <c r="F3820" s="1454">
        <v>10</v>
      </c>
      <c r="G3820" s="724">
        <v>4</v>
      </c>
      <c r="H3820" s="728">
        <f t="shared" si="488"/>
        <v>0.4</v>
      </c>
      <c r="I3820" s="1430">
        <f t="shared" si="487"/>
        <v>10</v>
      </c>
      <c r="J3820" s="860">
        <f t="shared" si="489"/>
        <v>4</v>
      </c>
      <c r="K3820" s="650">
        <f t="shared" si="490"/>
        <v>0.4</v>
      </c>
    </row>
    <row r="3821" spans="1:11" ht="24.95" customHeight="1">
      <c r="A3821" s="1444" t="s">
        <v>6273</v>
      </c>
      <c r="B3821" s="1445" t="s">
        <v>6344</v>
      </c>
      <c r="C3821" s="723"/>
      <c r="D3821" s="1443"/>
      <c r="E3821" s="1443"/>
      <c r="F3821" s="1454">
        <v>100</v>
      </c>
      <c r="G3821" s="724">
        <v>65</v>
      </c>
      <c r="H3821" s="728">
        <f t="shared" si="488"/>
        <v>0.65</v>
      </c>
      <c r="I3821" s="1430">
        <f t="shared" si="487"/>
        <v>100</v>
      </c>
      <c r="J3821" s="860">
        <f t="shared" si="489"/>
        <v>65</v>
      </c>
      <c r="K3821" s="650">
        <f t="shared" si="490"/>
        <v>0.65</v>
      </c>
    </row>
    <row r="3822" spans="1:11" ht="24.95" customHeight="1">
      <c r="A3822" s="1444" t="s">
        <v>2639</v>
      </c>
      <c r="B3822" s="727" t="s">
        <v>3048</v>
      </c>
      <c r="C3822" s="723"/>
      <c r="D3822" s="1443"/>
      <c r="E3822" s="1443"/>
      <c r="F3822" s="1454">
        <v>1230</v>
      </c>
      <c r="G3822" s="724">
        <v>467</v>
      </c>
      <c r="H3822" s="728">
        <f t="shared" si="488"/>
        <v>0.3796747967479675</v>
      </c>
      <c r="I3822" s="1430">
        <f t="shared" si="487"/>
        <v>1230</v>
      </c>
      <c r="J3822" s="860">
        <f t="shared" si="489"/>
        <v>467</v>
      </c>
      <c r="K3822" s="650">
        <f t="shared" si="490"/>
        <v>0.3796747967479675</v>
      </c>
    </row>
    <row r="3823" spans="1:11" ht="24.95" customHeight="1">
      <c r="A3823" s="1444" t="s">
        <v>2971</v>
      </c>
      <c r="B3823" s="1445" t="s">
        <v>3207</v>
      </c>
      <c r="C3823" s="723"/>
      <c r="D3823" s="1443"/>
      <c r="E3823" s="1443"/>
      <c r="F3823" s="1454">
        <v>1</v>
      </c>
      <c r="G3823" s="724"/>
      <c r="H3823" s="728">
        <f t="shared" si="488"/>
        <v>0</v>
      </c>
      <c r="I3823" s="1430">
        <f t="shared" si="487"/>
        <v>1</v>
      </c>
      <c r="J3823" s="860">
        <f t="shared" si="489"/>
        <v>0</v>
      </c>
      <c r="K3823" s="650">
        <f t="shared" si="490"/>
        <v>0</v>
      </c>
    </row>
    <row r="3824" spans="1:11" ht="24.95" customHeight="1">
      <c r="A3824" s="1444" t="s">
        <v>2643</v>
      </c>
      <c r="B3824" s="1445" t="s">
        <v>2973</v>
      </c>
      <c r="C3824" s="723"/>
      <c r="D3824" s="1443"/>
      <c r="E3824" s="1443"/>
      <c r="F3824" s="1454">
        <v>465</v>
      </c>
      <c r="G3824" s="724">
        <v>380</v>
      </c>
      <c r="H3824" s="728">
        <f t="shared" si="488"/>
        <v>0.81720430107526887</v>
      </c>
      <c r="I3824" s="1430">
        <f t="shared" si="487"/>
        <v>465</v>
      </c>
      <c r="J3824" s="860">
        <f t="shared" si="489"/>
        <v>380</v>
      </c>
      <c r="K3824" s="650">
        <f t="shared" si="490"/>
        <v>0.81720430107526887</v>
      </c>
    </row>
    <row r="3825" spans="1:11" ht="24.95" customHeight="1">
      <c r="A3825" s="1444" t="s">
        <v>2974</v>
      </c>
      <c r="B3825" s="1445" t="s">
        <v>2975</v>
      </c>
      <c r="C3825" s="723"/>
      <c r="D3825" s="1443"/>
      <c r="E3825" s="1443"/>
      <c r="F3825" s="1454">
        <v>5</v>
      </c>
      <c r="G3825" s="724">
        <v>22</v>
      </c>
      <c r="H3825" s="728">
        <f t="shared" si="488"/>
        <v>4.4000000000000004</v>
      </c>
      <c r="I3825" s="1430">
        <f t="shared" si="487"/>
        <v>5</v>
      </c>
      <c r="J3825" s="860">
        <f t="shared" si="489"/>
        <v>22</v>
      </c>
      <c r="K3825" s="650">
        <f t="shared" si="490"/>
        <v>4.4000000000000004</v>
      </c>
    </row>
    <row r="3826" spans="1:11" ht="24.95" customHeight="1">
      <c r="A3826" s="1444" t="s">
        <v>2976</v>
      </c>
      <c r="B3826" s="1445" t="s">
        <v>2977</v>
      </c>
      <c r="C3826" s="723"/>
      <c r="D3826" s="1443"/>
      <c r="E3826" s="1443"/>
      <c r="F3826" s="1454">
        <v>2</v>
      </c>
      <c r="G3826" s="724"/>
      <c r="H3826" s="728">
        <f t="shared" si="488"/>
        <v>0</v>
      </c>
      <c r="I3826" s="1430">
        <f t="shared" si="487"/>
        <v>2</v>
      </c>
      <c r="J3826" s="860">
        <f t="shared" si="489"/>
        <v>0</v>
      </c>
      <c r="K3826" s="650">
        <f t="shared" si="490"/>
        <v>0</v>
      </c>
    </row>
    <row r="3827" spans="1:11" ht="24.95" customHeight="1">
      <c r="A3827" s="1444" t="s">
        <v>2645</v>
      </c>
      <c r="B3827" s="1445" t="s">
        <v>2646</v>
      </c>
      <c r="C3827" s="723"/>
      <c r="D3827" s="1443"/>
      <c r="E3827" s="1443"/>
      <c r="F3827" s="1454">
        <v>4780</v>
      </c>
      <c r="G3827" s="724">
        <v>2674</v>
      </c>
      <c r="H3827" s="728">
        <f t="shared" si="488"/>
        <v>0.55941422594142265</v>
      </c>
      <c r="I3827" s="1430">
        <f t="shared" si="487"/>
        <v>4780</v>
      </c>
      <c r="J3827" s="860">
        <f t="shared" si="489"/>
        <v>2674</v>
      </c>
      <c r="K3827" s="650">
        <f t="shared" si="490"/>
        <v>0.55941422594142265</v>
      </c>
    </row>
    <row r="3828" spans="1:11" ht="24.95" customHeight="1">
      <c r="A3828" s="1444" t="s">
        <v>3974</v>
      </c>
      <c r="B3828" s="727" t="s">
        <v>3975</v>
      </c>
      <c r="C3828" s="723"/>
      <c r="D3828" s="1443"/>
      <c r="E3828" s="1443"/>
      <c r="F3828" s="1454"/>
      <c r="G3828" s="724"/>
      <c r="H3828" s="728" t="e">
        <f t="shared" si="488"/>
        <v>#DIV/0!</v>
      </c>
      <c r="I3828" s="1430">
        <f t="shared" si="487"/>
        <v>0</v>
      </c>
      <c r="J3828" s="860">
        <f t="shared" si="489"/>
        <v>0</v>
      </c>
      <c r="K3828" s="650" t="e">
        <f t="shared" si="490"/>
        <v>#DIV/0!</v>
      </c>
    </row>
    <row r="3829" spans="1:11" ht="24.95" customHeight="1">
      <c r="A3829" s="1444" t="s">
        <v>2657</v>
      </c>
      <c r="B3829" s="1455" t="s">
        <v>2658</v>
      </c>
      <c r="C3829" s="723"/>
      <c r="D3829" s="1443"/>
      <c r="E3829" s="1443"/>
      <c r="F3829" s="1454">
        <v>15</v>
      </c>
      <c r="G3829" s="724"/>
      <c r="H3829" s="728">
        <f t="shared" si="488"/>
        <v>0</v>
      </c>
      <c r="I3829" s="1430">
        <f t="shared" si="487"/>
        <v>15</v>
      </c>
      <c r="J3829" s="860">
        <f t="shared" si="489"/>
        <v>0</v>
      </c>
      <c r="K3829" s="650">
        <f t="shared" si="490"/>
        <v>0</v>
      </c>
    </row>
    <row r="3830" spans="1:11" ht="24.95" customHeight="1">
      <c r="A3830" s="146"/>
      <c r="B3830" s="88" t="s">
        <v>3113</v>
      </c>
      <c r="C3830" s="724">
        <f t="shared" ref="C3830:I3830" si="491">SUM(C3769:C3829)</f>
        <v>0</v>
      </c>
      <c r="D3830" s="724"/>
      <c r="E3830" s="724"/>
      <c r="F3830" s="724">
        <f t="shared" si="491"/>
        <v>14484</v>
      </c>
      <c r="G3830" s="724">
        <f t="shared" si="491"/>
        <v>6685</v>
      </c>
      <c r="H3830" s="728">
        <f t="shared" si="488"/>
        <v>0.46154377243855288</v>
      </c>
      <c r="I3830" s="724">
        <f t="shared" si="491"/>
        <v>14484</v>
      </c>
      <c r="J3830" s="860">
        <f t="shared" si="489"/>
        <v>6685</v>
      </c>
      <c r="K3830" s="650">
        <f t="shared" si="490"/>
        <v>0.46154377243855288</v>
      </c>
    </row>
    <row r="3831" spans="1:11" ht="24.95" customHeight="1">
      <c r="A3831" s="1976" t="s">
        <v>149</v>
      </c>
      <c r="B3831" s="1976"/>
      <c r="C3831" s="1976"/>
      <c r="D3831" s="1976"/>
      <c r="E3831" s="1976"/>
      <c r="F3831" s="1976"/>
      <c r="G3831" s="1976"/>
      <c r="H3831" s="1976"/>
      <c r="I3831" s="1977"/>
      <c r="K3831" s="643"/>
    </row>
    <row r="3832" spans="1:11" s="741" customFormat="1" ht="24.95" customHeight="1">
      <c r="A3832" s="1978" t="s">
        <v>208</v>
      </c>
      <c r="B3832" s="1979"/>
      <c r="C3832" s="1968" t="s">
        <v>1852</v>
      </c>
      <c r="D3832" s="1969"/>
      <c r="E3832" s="1969"/>
      <c r="F3832" s="1969"/>
      <c r="G3832" s="1969"/>
      <c r="H3832" s="1969"/>
      <c r="I3832" s="1969"/>
      <c r="J3832" s="1969"/>
      <c r="K3832" s="1969"/>
    </row>
    <row r="3833" spans="1:11" s="741" customFormat="1" ht="24.95" customHeight="1">
      <c r="A3833" s="1972" t="s">
        <v>209</v>
      </c>
      <c r="B3833" s="1973"/>
      <c r="C3833" s="1958">
        <v>17878735</v>
      </c>
      <c r="D3833" s="1959"/>
      <c r="E3833" s="1959"/>
      <c r="F3833" s="1959"/>
      <c r="G3833" s="1959"/>
      <c r="H3833" s="1959"/>
      <c r="I3833" s="1959"/>
      <c r="J3833" s="1959"/>
      <c r="K3833" s="1959"/>
    </row>
    <row r="3834" spans="1:11" s="741" customFormat="1" ht="24.95" customHeight="1">
      <c r="A3834" s="1972" t="s">
        <v>211</v>
      </c>
      <c r="B3834" s="1973"/>
      <c r="C3834" s="1960" t="s">
        <v>1812</v>
      </c>
      <c r="D3834" s="1961"/>
      <c r="E3834" s="1961"/>
      <c r="F3834" s="1961"/>
      <c r="G3834" s="1961"/>
      <c r="H3834" s="1961"/>
      <c r="I3834" s="1961"/>
      <c r="J3834" s="1961"/>
      <c r="K3834" s="1961"/>
    </row>
    <row r="3835" spans="1:11" s="741" customFormat="1" ht="24.95" customHeight="1">
      <c r="A3835" s="1972" t="s">
        <v>210</v>
      </c>
      <c r="B3835" s="1973"/>
      <c r="C3835" s="1962" t="s">
        <v>331</v>
      </c>
      <c r="D3835" s="1963"/>
      <c r="E3835" s="1963"/>
      <c r="F3835" s="1963"/>
      <c r="G3835" s="1963"/>
      <c r="H3835" s="1963"/>
      <c r="I3835" s="1963"/>
      <c r="J3835" s="1963"/>
      <c r="K3835" s="1963"/>
    </row>
    <row r="3836" spans="1:11" s="741" customFormat="1" ht="24.95" customHeight="1">
      <c r="A3836" s="1974" t="s">
        <v>251</v>
      </c>
      <c r="B3836" s="1975"/>
      <c r="C3836" s="1946" t="s">
        <v>1835</v>
      </c>
      <c r="D3836" s="1946"/>
      <c r="E3836" s="1946"/>
      <c r="F3836" s="1946"/>
      <c r="G3836" s="1946"/>
      <c r="H3836" s="1946"/>
      <c r="I3836" s="1946"/>
      <c r="J3836" s="1946"/>
      <c r="K3836" s="1946"/>
    </row>
    <row r="3837" spans="1:11" ht="24.95" customHeight="1">
      <c r="A3837" s="1933" t="s">
        <v>122</v>
      </c>
      <c r="B3837" s="1970" t="s">
        <v>253</v>
      </c>
      <c r="C3837" s="1935" t="s">
        <v>2038</v>
      </c>
      <c r="D3837" s="1935"/>
      <c r="E3837" s="1935"/>
      <c r="F3837" s="1935" t="s">
        <v>2039</v>
      </c>
      <c r="G3837" s="1935"/>
      <c r="H3837" s="1935"/>
      <c r="I3837" s="1935" t="s">
        <v>90</v>
      </c>
      <c r="J3837" s="1935"/>
      <c r="K3837" s="1935"/>
    </row>
    <row r="3838" spans="1:11" ht="24.95" customHeight="1">
      <c r="A3838" s="1934"/>
      <c r="B3838" s="1971"/>
      <c r="C3838" s="545" t="s">
        <v>368</v>
      </c>
      <c r="D3838" s="547" t="s">
        <v>2040</v>
      </c>
      <c r="E3838" s="546" t="s">
        <v>2041</v>
      </c>
      <c r="F3838" s="545" t="s">
        <v>368</v>
      </c>
      <c r="G3838" s="547" t="s">
        <v>2040</v>
      </c>
      <c r="H3838" s="546" t="s">
        <v>2041</v>
      </c>
      <c r="I3838" s="545" t="s">
        <v>368</v>
      </c>
      <c r="J3838" s="547" t="s">
        <v>2040</v>
      </c>
      <c r="K3838" s="546" t="s">
        <v>2041</v>
      </c>
    </row>
    <row r="3839" spans="1:11" ht="24.95" customHeight="1">
      <c r="A3839" s="1947" t="s">
        <v>2372</v>
      </c>
      <c r="B3839" s="1947"/>
      <c r="C3839" s="1947"/>
      <c r="D3839" s="1947"/>
      <c r="E3839" s="1947"/>
      <c r="F3839" s="1947"/>
      <c r="G3839" s="1947"/>
      <c r="H3839" s="1947"/>
      <c r="I3839" s="1947"/>
      <c r="J3839" s="1947"/>
      <c r="K3839" s="1947"/>
    </row>
    <row r="3840" spans="1:11" ht="24.95" customHeight="1">
      <c r="A3840" s="448" t="s">
        <v>6345</v>
      </c>
      <c r="B3840" s="1457" t="s">
        <v>6346</v>
      </c>
      <c r="C3840" s="1374">
        <v>300</v>
      </c>
      <c r="D3840" s="1374">
        <v>862</v>
      </c>
      <c r="E3840" s="1406">
        <f>+D3840/C3840</f>
        <v>2.8733333333333335</v>
      </c>
      <c r="F3840" s="1458">
        <v>50</v>
      </c>
      <c r="G3840" s="1458">
        <v>11</v>
      </c>
      <c r="H3840" s="1342">
        <f>+G3840/F3840</f>
        <v>0.22</v>
      </c>
      <c r="I3840" s="1413">
        <f t="shared" ref="I3840:J3857" si="492">+C3840+F3840</f>
        <v>350</v>
      </c>
      <c r="J3840" s="695">
        <f>+D3840+G3840</f>
        <v>873</v>
      </c>
      <c r="K3840" s="855">
        <f>+J3840/I3840</f>
        <v>2.4942857142857142</v>
      </c>
    </row>
    <row r="3841" spans="1:11" ht="24.95" customHeight="1">
      <c r="A3841" s="448" t="s">
        <v>6347</v>
      </c>
      <c r="B3841" s="1457" t="s">
        <v>6348</v>
      </c>
      <c r="C3841" s="1374">
        <v>2</v>
      </c>
      <c r="D3841" s="1374">
        <v>1</v>
      </c>
      <c r="E3841" s="1406">
        <f t="shared" ref="E3841:E3904" si="493">+D3841/C3841</f>
        <v>0.5</v>
      </c>
      <c r="F3841" s="1458"/>
      <c r="G3841" s="1458"/>
      <c r="H3841" s="1342"/>
      <c r="I3841" s="1413">
        <f t="shared" si="492"/>
        <v>2</v>
      </c>
      <c r="J3841" s="695">
        <f t="shared" si="492"/>
        <v>1</v>
      </c>
      <c r="K3841" s="855">
        <f t="shared" ref="K3841:K3904" si="494">+J3841/I3841</f>
        <v>0.5</v>
      </c>
    </row>
    <row r="3842" spans="1:11" ht="24.95" customHeight="1">
      <c r="A3842" s="448" t="s">
        <v>6349</v>
      </c>
      <c r="B3842" s="1457" t="s">
        <v>6350</v>
      </c>
      <c r="C3842" s="1374"/>
      <c r="D3842" s="1374"/>
      <c r="E3842" s="1406" t="e">
        <f t="shared" si="493"/>
        <v>#DIV/0!</v>
      </c>
      <c r="F3842" s="1458">
        <v>2</v>
      </c>
      <c r="G3842" s="1458"/>
      <c r="H3842" s="1342"/>
      <c r="I3842" s="1413">
        <f t="shared" si="492"/>
        <v>2</v>
      </c>
      <c r="J3842" s="695">
        <f t="shared" si="492"/>
        <v>0</v>
      </c>
      <c r="K3842" s="855">
        <f t="shared" si="494"/>
        <v>0</v>
      </c>
    </row>
    <row r="3843" spans="1:11" ht="24.95" customHeight="1">
      <c r="A3843" s="448" t="s">
        <v>6351</v>
      </c>
      <c r="B3843" s="1457" t="s">
        <v>6352</v>
      </c>
      <c r="C3843" s="1374">
        <v>50</v>
      </c>
      <c r="D3843" s="1374">
        <v>248</v>
      </c>
      <c r="E3843" s="1406">
        <f t="shared" si="493"/>
        <v>4.96</v>
      </c>
      <c r="F3843" s="1458"/>
      <c r="G3843" s="1458"/>
      <c r="H3843" s="1342"/>
      <c r="I3843" s="1413">
        <f t="shared" si="492"/>
        <v>50</v>
      </c>
      <c r="J3843" s="695">
        <f t="shared" si="492"/>
        <v>248</v>
      </c>
      <c r="K3843" s="855">
        <f t="shared" si="494"/>
        <v>4.96</v>
      </c>
    </row>
    <row r="3844" spans="1:11" ht="24.95" customHeight="1">
      <c r="A3844" s="448" t="s">
        <v>6353</v>
      </c>
      <c r="B3844" s="1457" t="s">
        <v>6354</v>
      </c>
      <c r="C3844" s="1374">
        <v>25</v>
      </c>
      <c r="D3844" s="1374"/>
      <c r="E3844" s="1406">
        <f t="shared" si="493"/>
        <v>0</v>
      </c>
      <c r="F3844" s="1458"/>
      <c r="G3844" s="1458"/>
      <c r="H3844" s="1342"/>
      <c r="I3844" s="1413">
        <f t="shared" si="492"/>
        <v>25</v>
      </c>
      <c r="J3844" s="695">
        <f t="shared" si="492"/>
        <v>0</v>
      </c>
      <c r="K3844" s="855">
        <f t="shared" si="494"/>
        <v>0</v>
      </c>
    </row>
    <row r="3845" spans="1:11" ht="24.95" customHeight="1">
      <c r="A3845" s="448" t="s">
        <v>6355</v>
      </c>
      <c r="B3845" s="1457" t="s">
        <v>6356</v>
      </c>
      <c r="C3845" s="1374"/>
      <c r="D3845" s="1374">
        <v>1</v>
      </c>
      <c r="E3845" s="1406" t="e">
        <f t="shared" si="493"/>
        <v>#DIV/0!</v>
      </c>
      <c r="F3845" s="1458"/>
      <c r="G3845" s="1458"/>
      <c r="H3845" s="1342"/>
      <c r="I3845" s="1413">
        <f t="shared" si="492"/>
        <v>0</v>
      </c>
      <c r="J3845" s="695">
        <f t="shared" si="492"/>
        <v>1</v>
      </c>
      <c r="K3845" s="855" t="e">
        <f t="shared" si="494"/>
        <v>#DIV/0!</v>
      </c>
    </row>
    <row r="3846" spans="1:11" ht="24.95" customHeight="1">
      <c r="A3846" s="448" t="s">
        <v>3160</v>
      </c>
      <c r="B3846" s="1457" t="s">
        <v>3161</v>
      </c>
      <c r="C3846" s="1374">
        <v>300</v>
      </c>
      <c r="D3846" s="1374">
        <v>3358</v>
      </c>
      <c r="E3846" s="1406">
        <f t="shared" si="493"/>
        <v>11.193333333333333</v>
      </c>
      <c r="F3846" s="1458">
        <v>50</v>
      </c>
      <c r="G3846" s="1458">
        <v>14</v>
      </c>
      <c r="H3846" s="1342"/>
      <c r="I3846" s="1413">
        <f t="shared" si="492"/>
        <v>350</v>
      </c>
      <c r="J3846" s="695">
        <f t="shared" si="492"/>
        <v>3372</v>
      </c>
      <c r="K3846" s="855">
        <f t="shared" si="494"/>
        <v>9.6342857142857135</v>
      </c>
    </row>
    <row r="3847" spans="1:11" ht="24.95" customHeight="1">
      <c r="A3847" s="448" t="s">
        <v>6357</v>
      </c>
      <c r="B3847" s="1457" t="s">
        <v>6358</v>
      </c>
      <c r="C3847" s="1374">
        <v>10</v>
      </c>
      <c r="D3847" s="1374">
        <v>276</v>
      </c>
      <c r="E3847" s="1406">
        <f t="shared" si="493"/>
        <v>27.6</v>
      </c>
      <c r="F3847" s="1458">
        <v>1</v>
      </c>
      <c r="G3847" s="1458"/>
      <c r="H3847" s="1342"/>
      <c r="I3847" s="1413">
        <f t="shared" si="492"/>
        <v>11</v>
      </c>
      <c r="J3847" s="695">
        <f t="shared" si="492"/>
        <v>276</v>
      </c>
      <c r="K3847" s="855">
        <f t="shared" si="494"/>
        <v>25.09090909090909</v>
      </c>
    </row>
    <row r="3848" spans="1:11" ht="24.95" customHeight="1">
      <c r="A3848" s="448" t="s">
        <v>6359</v>
      </c>
      <c r="B3848" s="1457" t="s">
        <v>6360</v>
      </c>
      <c r="C3848" s="1374">
        <v>3</v>
      </c>
      <c r="D3848" s="1374"/>
      <c r="E3848" s="1406">
        <f t="shared" si="493"/>
        <v>0</v>
      </c>
      <c r="F3848" s="1458"/>
      <c r="G3848" s="1458"/>
      <c r="H3848" s="1342"/>
      <c r="I3848" s="1413">
        <f t="shared" si="492"/>
        <v>3</v>
      </c>
      <c r="J3848" s="695">
        <f t="shared" si="492"/>
        <v>0</v>
      </c>
      <c r="K3848" s="855">
        <f t="shared" si="494"/>
        <v>0</v>
      </c>
    </row>
    <row r="3849" spans="1:11" ht="24.95" customHeight="1">
      <c r="A3849" s="448" t="s">
        <v>6361</v>
      </c>
      <c r="B3849" s="1457" t="s">
        <v>6362</v>
      </c>
      <c r="C3849" s="1374">
        <v>10</v>
      </c>
      <c r="D3849" s="1374"/>
      <c r="E3849" s="1406">
        <f t="shared" si="493"/>
        <v>0</v>
      </c>
      <c r="F3849" s="1458"/>
      <c r="G3849" s="1458"/>
      <c r="H3849" s="1342"/>
      <c r="I3849" s="1413">
        <f t="shared" si="492"/>
        <v>10</v>
      </c>
      <c r="J3849" s="695">
        <f t="shared" si="492"/>
        <v>0</v>
      </c>
      <c r="K3849" s="855">
        <f t="shared" si="494"/>
        <v>0</v>
      </c>
    </row>
    <row r="3850" spans="1:11" ht="24.95" customHeight="1">
      <c r="A3850" s="448" t="s">
        <v>6363</v>
      </c>
      <c r="B3850" s="1457" t="s">
        <v>6364</v>
      </c>
      <c r="C3850" s="1374">
        <v>3</v>
      </c>
      <c r="D3850" s="1374"/>
      <c r="E3850" s="1406">
        <f t="shared" si="493"/>
        <v>0</v>
      </c>
      <c r="F3850" s="1374"/>
      <c r="G3850" s="1374"/>
      <c r="H3850" s="1342"/>
      <c r="I3850" s="1413">
        <f t="shared" si="492"/>
        <v>3</v>
      </c>
      <c r="J3850" s="695">
        <f t="shared" si="492"/>
        <v>0</v>
      </c>
      <c r="K3850" s="855">
        <f t="shared" si="494"/>
        <v>0</v>
      </c>
    </row>
    <row r="3851" spans="1:11" ht="24.95" customHeight="1">
      <c r="A3851" s="448" t="s">
        <v>6365</v>
      </c>
      <c r="B3851" s="1457" t="s">
        <v>6366</v>
      </c>
      <c r="C3851" s="1374">
        <v>10</v>
      </c>
      <c r="D3851" s="1374"/>
      <c r="E3851" s="1406">
        <f t="shared" si="493"/>
        <v>0</v>
      </c>
      <c r="F3851" s="1458"/>
      <c r="G3851" s="1458"/>
      <c r="H3851" s="1342"/>
      <c r="I3851" s="1413">
        <f t="shared" si="492"/>
        <v>10</v>
      </c>
      <c r="J3851" s="695">
        <f t="shared" si="492"/>
        <v>0</v>
      </c>
      <c r="K3851" s="855">
        <f t="shared" si="494"/>
        <v>0</v>
      </c>
    </row>
    <row r="3852" spans="1:11" ht="24.95" customHeight="1">
      <c r="A3852" s="448" t="s">
        <v>6367</v>
      </c>
      <c r="B3852" s="1457" t="s">
        <v>6368</v>
      </c>
      <c r="C3852" s="1374">
        <v>10</v>
      </c>
      <c r="D3852" s="1374"/>
      <c r="E3852" s="1406">
        <f t="shared" si="493"/>
        <v>0</v>
      </c>
      <c r="F3852" s="1458"/>
      <c r="G3852" s="1458"/>
      <c r="H3852" s="1342"/>
      <c r="I3852" s="1413">
        <f t="shared" si="492"/>
        <v>10</v>
      </c>
      <c r="J3852" s="695">
        <f t="shared" si="492"/>
        <v>0</v>
      </c>
      <c r="K3852" s="855">
        <f t="shared" si="494"/>
        <v>0</v>
      </c>
    </row>
    <row r="3853" spans="1:11" ht="24.95" customHeight="1">
      <c r="A3853" s="448" t="s">
        <v>6369</v>
      </c>
      <c r="B3853" s="1457" t="s">
        <v>6370</v>
      </c>
      <c r="C3853" s="1374">
        <v>20</v>
      </c>
      <c r="D3853" s="1374"/>
      <c r="E3853" s="1406">
        <f t="shared" si="493"/>
        <v>0</v>
      </c>
      <c r="F3853" s="1458"/>
      <c r="G3853" s="1458"/>
      <c r="H3853" s="1342"/>
      <c r="I3853" s="1413">
        <f t="shared" si="492"/>
        <v>20</v>
      </c>
      <c r="J3853" s="695">
        <f t="shared" si="492"/>
        <v>0</v>
      </c>
      <c r="K3853" s="855">
        <f t="shared" si="494"/>
        <v>0</v>
      </c>
    </row>
    <row r="3854" spans="1:11" ht="24.95" customHeight="1">
      <c r="A3854" s="448" t="s">
        <v>6371</v>
      </c>
      <c r="B3854" s="1457" t="s">
        <v>6372</v>
      </c>
      <c r="C3854" s="1374"/>
      <c r="D3854" s="1374"/>
      <c r="E3854" s="1406" t="e">
        <f t="shared" si="493"/>
        <v>#DIV/0!</v>
      </c>
      <c r="F3854" s="1458"/>
      <c r="G3854" s="1458"/>
      <c r="H3854" s="1342"/>
      <c r="I3854" s="1413">
        <f t="shared" si="492"/>
        <v>0</v>
      </c>
      <c r="J3854" s="695">
        <f t="shared" si="492"/>
        <v>0</v>
      </c>
      <c r="K3854" s="855" t="e">
        <f t="shared" si="494"/>
        <v>#DIV/0!</v>
      </c>
    </row>
    <row r="3855" spans="1:11" ht="24.95" customHeight="1">
      <c r="A3855" s="448" t="s">
        <v>6373</v>
      </c>
      <c r="B3855" s="1457" t="s">
        <v>6374</v>
      </c>
      <c r="C3855" s="1374"/>
      <c r="D3855" s="1374"/>
      <c r="E3855" s="1406" t="e">
        <f t="shared" si="493"/>
        <v>#DIV/0!</v>
      </c>
      <c r="F3855" s="1458">
        <v>2</v>
      </c>
      <c r="G3855" s="1458"/>
      <c r="H3855" s="1342"/>
      <c r="I3855" s="1413">
        <f t="shared" si="492"/>
        <v>2</v>
      </c>
      <c r="J3855" s="695">
        <f t="shared" si="492"/>
        <v>0</v>
      </c>
      <c r="K3855" s="855">
        <f t="shared" si="494"/>
        <v>0</v>
      </c>
    </row>
    <row r="3856" spans="1:11" ht="24.95" customHeight="1">
      <c r="A3856" s="448" t="s">
        <v>6375</v>
      </c>
      <c r="B3856" s="1457" t="s">
        <v>6376</v>
      </c>
      <c r="C3856" s="1374">
        <v>300</v>
      </c>
      <c r="D3856" s="1374">
        <v>1441</v>
      </c>
      <c r="E3856" s="1406">
        <f t="shared" si="493"/>
        <v>4.8033333333333337</v>
      </c>
      <c r="F3856" s="1458">
        <v>50</v>
      </c>
      <c r="G3856" s="1458">
        <v>15</v>
      </c>
      <c r="H3856" s="1342"/>
      <c r="I3856" s="1413">
        <f t="shared" si="492"/>
        <v>350</v>
      </c>
      <c r="J3856" s="695">
        <f t="shared" si="492"/>
        <v>1456</v>
      </c>
      <c r="K3856" s="855">
        <f t="shared" si="494"/>
        <v>4.16</v>
      </c>
    </row>
    <row r="3857" spans="1:11" ht="24.95" customHeight="1">
      <c r="A3857" s="448" t="s">
        <v>6377</v>
      </c>
      <c r="B3857" s="1457" t="s">
        <v>6378</v>
      </c>
      <c r="C3857" s="1374"/>
      <c r="D3857" s="1374"/>
      <c r="E3857" s="1406" t="e">
        <f t="shared" si="493"/>
        <v>#DIV/0!</v>
      </c>
      <c r="F3857" s="1458"/>
      <c r="G3857" s="1458"/>
      <c r="H3857" s="1342"/>
      <c r="I3857" s="1413">
        <f t="shared" si="492"/>
        <v>0</v>
      </c>
      <c r="J3857" s="695">
        <f t="shared" si="492"/>
        <v>0</v>
      </c>
      <c r="K3857" s="855" t="e">
        <f t="shared" si="494"/>
        <v>#DIV/0!</v>
      </c>
    </row>
    <row r="3858" spans="1:11" ht="24.95" customHeight="1">
      <c r="A3858" s="448" t="s">
        <v>6379</v>
      </c>
      <c r="B3858" s="1457" t="s">
        <v>6380</v>
      </c>
      <c r="C3858" s="1374">
        <v>150</v>
      </c>
      <c r="D3858" s="1374"/>
      <c r="E3858" s="1406">
        <f t="shared" si="493"/>
        <v>0</v>
      </c>
      <c r="F3858" s="1458"/>
      <c r="G3858" s="1458"/>
      <c r="H3858" s="1342"/>
      <c r="I3858" s="1413"/>
      <c r="J3858" s="695">
        <f t="shared" ref="J3858:J3921" si="495">+D3858+G3858</f>
        <v>0</v>
      </c>
      <c r="K3858" s="855" t="e">
        <f t="shared" si="494"/>
        <v>#DIV/0!</v>
      </c>
    </row>
    <row r="3859" spans="1:11" ht="24.95" customHeight="1">
      <c r="A3859" s="448" t="s">
        <v>6381</v>
      </c>
      <c r="B3859" s="1457" t="s">
        <v>6382</v>
      </c>
      <c r="C3859" s="1374"/>
      <c r="D3859" s="1374"/>
      <c r="E3859" s="1406" t="e">
        <f t="shared" si="493"/>
        <v>#DIV/0!</v>
      </c>
      <c r="F3859" s="1458">
        <v>1</v>
      </c>
      <c r="G3859" s="1458"/>
      <c r="H3859" s="1342"/>
      <c r="I3859" s="1413">
        <f t="shared" ref="I3859:J3922" si="496">+C3859+F3859</f>
        <v>1</v>
      </c>
      <c r="J3859" s="695">
        <f t="shared" si="495"/>
        <v>0</v>
      </c>
      <c r="K3859" s="855">
        <f t="shared" si="494"/>
        <v>0</v>
      </c>
    </row>
    <row r="3860" spans="1:11" ht="24.95" customHeight="1">
      <c r="A3860" s="448" t="s">
        <v>6383</v>
      </c>
      <c r="B3860" s="1457" t="s">
        <v>6384</v>
      </c>
      <c r="C3860" s="1374"/>
      <c r="D3860" s="1374">
        <v>7</v>
      </c>
      <c r="E3860" s="1406" t="e">
        <f t="shared" si="493"/>
        <v>#DIV/0!</v>
      </c>
      <c r="F3860" s="1458">
        <v>15</v>
      </c>
      <c r="G3860" s="1458"/>
      <c r="H3860" s="1342"/>
      <c r="I3860" s="1413">
        <f t="shared" si="496"/>
        <v>15</v>
      </c>
      <c r="J3860" s="695">
        <f t="shared" si="495"/>
        <v>7</v>
      </c>
      <c r="K3860" s="855">
        <f t="shared" si="494"/>
        <v>0.46666666666666667</v>
      </c>
    </row>
    <row r="3861" spans="1:11" ht="24.95" customHeight="1">
      <c r="A3861" s="448" t="s">
        <v>6385</v>
      </c>
      <c r="B3861" s="1457" t="s">
        <v>6386</v>
      </c>
      <c r="C3861" s="1374"/>
      <c r="D3861" s="1374"/>
      <c r="E3861" s="1406" t="e">
        <f t="shared" si="493"/>
        <v>#DIV/0!</v>
      </c>
      <c r="F3861" s="1458">
        <v>3</v>
      </c>
      <c r="G3861" s="1458"/>
      <c r="H3861" s="1342"/>
      <c r="I3861" s="1413">
        <f t="shared" si="496"/>
        <v>3</v>
      </c>
      <c r="J3861" s="695">
        <f t="shared" si="495"/>
        <v>0</v>
      </c>
      <c r="K3861" s="855">
        <f t="shared" si="494"/>
        <v>0</v>
      </c>
    </row>
    <row r="3862" spans="1:11" ht="24.95" customHeight="1">
      <c r="A3862" s="448" t="s">
        <v>6387</v>
      </c>
      <c r="B3862" s="1457" t="s">
        <v>6388</v>
      </c>
      <c r="C3862" s="1374">
        <v>50</v>
      </c>
      <c r="D3862" s="1374"/>
      <c r="E3862" s="1406">
        <f t="shared" si="493"/>
        <v>0</v>
      </c>
      <c r="F3862" s="1374"/>
      <c r="G3862" s="1374"/>
      <c r="H3862" s="1342"/>
      <c r="I3862" s="1413">
        <f t="shared" si="496"/>
        <v>50</v>
      </c>
      <c r="J3862" s="695">
        <f t="shared" si="495"/>
        <v>0</v>
      </c>
      <c r="K3862" s="855">
        <f t="shared" si="494"/>
        <v>0</v>
      </c>
    </row>
    <row r="3863" spans="1:11" ht="24.95" customHeight="1">
      <c r="A3863" s="448" t="s">
        <v>6389</v>
      </c>
      <c r="B3863" s="1457" t="s">
        <v>6390</v>
      </c>
      <c r="C3863" s="1374"/>
      <c r="D3863" s="1374"/>
      <c r="E3863" s="1406" t="e">
        <f t="shared" si="493"/>
        <v>#DIV/0!</v>
      </c>
      <c r="F3863" s="1374"/>
      <c r="G3863" s="1374"/>
      <c r="H3863" s="1342"/>
      <c r="I3863" s="1413">
        <f t="shared" si="496"/>
        <v>0</v>
      </c>
      <c r="J3863" s="695">
        <f t="shared" si="495"/>
        <v>0</v>
      </c>
      <c r="K3863" s="855" t="e">
        <f t="shared" si="494"/>
        <v>#DIV/0!</v>
      </c>
    </row>
    <row r="3864" spans="1:11" ht="24.95" customHeight="1">
      <c r="A3864" s="448" t="s">
        <v>6391</v>
      </c>
      <c r="B3864" s="1457" t="s">
        <v>6392</v>
      </c>
      <c r="C3864" s="1374"/>
      <c r="D3864" s="1374"/>
      <c r="E3864" s="1406" t="e">
        <f t="shared" si="493"/>
        <v>#DIV/0!</v>
      </c>
      <c r="F3864" s="1458"/>
      <c r="G3864" s="1458"/>
      <c r="H3864" s="1342"/>
      <c r="I3864" s="1413">
        <f t="shared" si="496"/>
        <v>0</v>
      </c>
      <c r="J3864" s="695">
        <f t="shared" si="495"/>
        <v>0</v>
      </c>
      <c r="K3864" s="855" t="e">
        <f t="shared" si="494"/>
        <v>#DIV/0!</v>
      </c>
    </row>
    <row r="3865" spans="1:11" ht="24.95" customHeight="1">
      <c r="A3865" s="448" t="s">
        <v>6393</v>
      </c>
      <c r="B3865" s="1457" t="s">
        <v>6394</v>
      </c>
      <c r="C3865" s="1374"/>
      <c r="D3865" s="1374"/>
      <c r="E3865" s="1406" t="e">
        <f t="shared" si="493"/>
        <v>#DIV/0!</v>
      </c>
      <c r="F3865" s="1458"/>
      <c r="G3865" s="1458"/>
      <c r="H3865" s="1342"/>
      <c r="I3865" s="1413">
        <f t="shared" si="496"/>
        <v>0</v>
      </c>
      <c r="J3865" s="695">
        <f t="shared" si="495"/>
        <v>0</v>
      </c>
      <c r="K3865" s="855" t="e">
        <f t="shared" si="494"/>
        <v>#DIV/0!</v>
      </c>
    </row>
    <row r="3866" spans="1:11" ht="24.95" customHeight="1">
      <c r="A3866" s="448" t="s">
        <v>6395</v>
      </c>
      <c r="B3866" s="1457" t="s">
        <v>6396</v>
      </c>
      <c r="C3866" s="1374">
        <v>10</v>
      </c>
      <c r="D3866" s="1374">
        <v>10</v>
      </c>
      <c r="E3866" s="1406">
        <f t="shared" si="493"/>
        <v>1</v>
      </c>
      <c r="F3866" s="1458">
        <v>50</v>
      </c>
      <c r="G3866" s="1458">
        <v>7</v>
      </c>
      <c r="H3866" s="1342"/>
      <c r="I3866" s="1413">
        <f t="shared" si="496"/>
        <v>60</v>
      </c>
      <c r="J3866" s="695">
        <f t="shared" si="495"/>
        <v>17</v>
      </c>
      <c r="K3866" s="855">
        <f t="shared" si="494"/>
        <v>0.28333333333333333</v>
      </c>
    </row>
    <row r="3867" spans="1:11" ht="24.95" customHeight="1">
      <c r="A3867" s="448" t="s">
        <v>3162</v>
      </c>
      <c r="B3867" s="1457" t="s">
        <v>3163</v>
      </c>
      <c r="C3867" s="1374">
        <v>15</v>
      </c>
      <c r="D3867" s="1374">
        <v>14</v>
      </c>
      <c r="E3867" s="1406">
        <f t="shared" si="493"/>
        <v>0.93333333333333335</v>
      </c>
      <c r="F3867" s="1458">
        <v>55</v>
      </c>
      <c r="G3867" s="1458">
        <v>8</v>
      </c>
      <c r="H3867" s="1342"/>
      <c r="I3867" s="1413">
        <f t="shared" si="496"/>
        <v>70</v>
      </c>
      <c r="J3867" s="695">
        <f t="shared" si="495"/>
        <v>22</v>
      </c>
      <c r="K3867" s="855">
        <f t="shared" si="494"/>
        <v>0.31428571428571428</v>
      </c>
    </row>
    <row r="3868" spans="1:11" ht="24.95" customHeight="1">
      <c r="A3868" s="448" t="s">
        <v>6397</v>
      </c>
      <c r="B3868" s="1457" t="s">
        <v>6398</v>
      </c>
      <c r="C3868" s="1374">
        <v>3</v>
      </c>
      <c r="D3868" s="1374">
        <v>2</v>
      </c>
      <c r="E3868" s="1406">
        <f t="shared" si="493"/>
        <v>0.66666666666666663</v>
      </c>
      <c r="F3868" s="1458">
        <v>26</v>
      </c>
      <c r="G3868" s="1458">
        <v>3</v>
      </c>
      <c r="H3868" s="1342"/>
      <c r="I3868" s="1413">
        <f t="shared" si="496"/>
        <v>29</v>
      </c>
      <c r="J3868" s="695">
        <f t="shared" si="495"/>
        <v>5</v>
      </c>
      <c r="K3868" s="855">
        <f t="shared" si="494"/>
        <v>0.17241379310344829</v>
      </c>
    </row>
    <row r="3869" spans="1:11" ht="24.95" customHeight="1">
      <c r="A3869" s="448" t="s">
        <v>6399</v>
      </c>
      <c r="B3869" s="1457" t="s">
        <v>6400</v>
      </c>
      <c r="C3869" s="1374">
        <v>5</v>
      </c>
      <c r="D3869" s="1374">
        <v>4</v>
      </c>
      <c r="E3869" s="1406">
        <f t="shared" si="493"/>
        <v>0.8</v>
      </c>
      <c r="F3869" s="1458">
        <v>40</v>
      </c>
      <c r="G3869" s="1458">
        <f>11+12</f>
        <v>23</v>
      </c>
      <c r="H3869" s="1342"/>
      <c r="I3869" s="1413">
        <f t="shared" si="496"/>
        <v>45</v>
      </c>
      <c r="J3869" s="695">
        <f t="shared" si="495"/>
        <v>27</v>
      </c>
      <c r="K3869" s="855">
        <f t="shared" si="494"/>
        <v>0.6</v>
      </c>
    </row>
    <row r="3870" spans="1:11" ht="24.95" customHeight="1">
      <c r="A3870" s="448" t="s">
        <v>6327</v>
      </c>
      <c r="B3870" s="1457" t="s">
        <v>6401</v>
      </c>
      <c r="C3870" s="1374"/>
      <c r="D3870" s="1374"/>
      <c r="E3870" s="1406" t="e">
        <f t="shared" si="493"/>
        <v>#DIV/0!</v>
      </c>
      <c r="F3870" s="1458">
        <v>60</v>
      </c>
      <c r="G3870" s="1458">
        <v>5</v>
      </c>
      <c r="H3870" s="1342"/>
      <c r="I3870" s="1413">
        <f t="shared" si="496"/>
        <v>60</v>
      </c>
      <c r="J3870" s="695">
        <f t="shared" si="495"/>
        <v>5</v>
      </c>
      <c r="K3870" s="855">
        <f t="shared" si="494"/>
        <v>8.3333333333333329E-2</v>
      </c>
    </row>
    <row r="3871" spans="1:11" ht="24.95" customHeight="1">
      <c r="A3871" s="448" t="s">
        <v>6402</v>
      </c>
      <c r="B3871" s="1457" t="s">
        <v>6403</v>
      </c>
      <c r="C3871" s="1374">
        <v>1</v>
      </c>
      <c r="D3871" s="1374"/>
      <c r="E3871" s="1406">
        <f t="shared" si="493"/>
        <v>0</v>
      </c>
      <c r="F3871" s="1458"/>
      <c r="G3871" s="1458"/>
      <c r="H3871" s="1459"/>
      <c r="I3871" s="1413">
        <f t="shared" si="496"/>
        <v>1</v>
      </c>
      <c r="J3871" s="695">
        <f t="shared" si="495"/>
        <v>0</v>
      </c>
      <c r="K3871" s="855">
        <f t="shared" si="494"/>
        <v>0</v>
      </c>
    </row>
    <row r="3872" spans="1:11" ht="24.95" customHeight="1">
      <c r="A3872" s="448" t="s">
        <v>6404</v>
      </c>
      <c r="B3872" s="1457" t="s">
        <v>6405</v>
      </c>
      <c r="C3872" s="1374"/>
      <c r="D3872" s="1374"/>
      <c r="E3872" s="1406" t="e">
        <f t="shared" si="493"/>
        <v>#DIV/0!</v>
      </c>
      <c r="F3872" s="1374"/>
      <c r="G3872" s="1374"/>
      <c r="H3872" s="1406"/>
      <c r="I3872" s="1413">
        <f t="shared" si="496"/>
        <v>0</v>
      </c>
      <c r="J3872" s="695">
        <f t="shared" si="495"/>
        <v>0</v>
      </c>
      <c r="K3872" s="855" t="e">
        <f t="shared" si="494"/>
        <v>#DIV/0!</v>
      </c>
    </row>
    <row r="3873" spans="1:11" ht="24.95" customHeight="1">
      <c r="A3873" s="448" t="s">
        <v>6406</v>
      </c>
      <c r="B3873" s="1457" t="s">
        <v>6407</v>
      </c>
      <c r="C3873" s="1374"/>
      <c r="D3873" s="1374"/>
      <c r="E3873" s="1406" t="e">
        <f t="shared" si="493"/>
        <v>#DIV/0!</v>
      </c>
      <c r="F3873" s="1374"/>
      <c r="G3873" s="1374"/>
      <c r="H3873" s="1406"/>
      <c r="I3873" s="1413">
        <f t="shared" si="496"/>
        <v>0</v>
      </c>
      <c r="J3873" s="695">
        <f t="shared" si="495"/>
        <v>0</v>
      </c>
      <c r="K3873" s="855" t="e">
        <f t="shared" si="494"/>
        <v>#DIV/0!</v>
      </c>
    </row>
    <row r="3874" spans="1:11" ht="24.95" customHeight="1">
      <c r="A3874" s="1262" t="s">
        <v>6408</v>
      </c>
      <c r="B3874" s="1460" t="s">
        <v>6409</v>
      </c>
      <c r="C3874" s="1374">
        <v>1</v>
      </c>
      <c r="D3874" s="1374"/>
      <c r="E3874" s="1406">
        <f t="shared" si="493"/>
        <v>0</v>
      </c>
      <c r="F3874" s="1374">
        <v>10</v>
      </c>
      <c r="G3874" s="1374"/>
      <c r="H3874" s="1406"/>
      <c r="I3874" s="1413">
        <f t="shared" si="496"/>
        <v>11</v>
      </c>
      <c r="J3874" s="695">
        <f t="shared" si="495"/>
        <v>0</v>
      </c>
      <c r="K3874" s="855">
        <f t="shared" si="494"/>
        <v>0</v>
      </c>
    </row>
    <row r="3875" spans="1:11" ht="24.95" customHeight="1">
      <c r="A3875" s="448" t="s">
        <v>6410</v>
      </c>
      <c r="B3875" s="1457" t="s">
        <v>6411</v>
      </c>
      <c r="C3875" s="1374"/>
      <c r="D3875" s="1374"/>
      <c r="E3875" s="1406" t="e">
        <f t="shared" si="493"/>
        <v>#DIV/0!</v>
      </c>
      <c r="F3875" s="1374"/>
      <c r="G3875" s="1374"/>
      <c r="H3875" s="1406"/>
      <c r="I3875" s="1413">
        <f t="shared" si="496"/>
        <v>0</v>
      </c>
      <c r="J3875" s="695">
        <f t="shared" si="495"/>
        <v>0</v>
      </c>
      <c r="K3875" s="855" t="e">
        <f t="shared" si="494"/>
        <v>#DIV/0!</v>
      </c>
    </row>
    <row r="3876" spans="1:11" ht="24.95" customHeight="1">
      <c r="A3876" s="448" t="s">
        <v>6412</v>
      </c>
      <c r="B3876" s="1457" t="s">
        <v>6413</v>
      </c>
      <c r="C3876" s="1374"/>
      <c r="D3876" s="1374"/>
      <c r="E3876" s="1406" t="e">
        <f t="shared" si="493"/>
        <v>#DIV/0!</v>
      </c>
      <c r="F3876" s="1374"/>
      <c r="G3876" s="1374"/>
      <c r="H3876" s="1406"/>
      <c r="I3876" s="1413">
        <f t="shared" si="496"/>
        <v>0</v>
      </c>
      <c r="J3876" s="695">
        <f t="shared" si="495"/>
        <v>0</v>
      </c>
      <c r="K3876" s="855" t="e">
        <f t="shared" si="494"/>
        <v>#DIV/0!</v>
      </c>
    </row>
    <row r="3877" spans="1:11" ht="24.95" customHeight="1">
      <c r="A3877" s="448" t="s">
        <v>6414</v>
      </c>
      <c r="B3877" s="1457" t="s">
        <v>6415</v>
      </c>
      <c r="C3877" s="1374"/>
      <c r="D3877" s="1374"/>
      <c r="E3877" s="1406" t="e">
        <f t="shared" si="493"/>
        <v>#DIV/0!</v>
      </c>
      <c r="F3877" s="1374"/>
      <c r="G3877" s="1374"/>
      <c r="H3877" s="1406"/>
      <c r="I3877" s="1413">
        <f t="shared" si="496"/>
        <v>0</v>
      </c>
      <c r="J3877" s="695">
        <f t="shared" si="495"/>
        <v>0</v>
      </c>
      <c r="K3877" s="855" t="e">
        <f t="shared" si="494"/>
        <v>#DIV/0!</v>
      </c>
    </row>
    <row r="3878" spans="1:11" ht="24.95" customHeight="1">
      <c r="A3878" s="448" t="s">
        <v>6416</v>
      </c>
      <c r="B3878" s="1457" t="s">
        <v>6417</v>
      </c>
      <c r="C3878" s="1374">
        <v>35</v>
      </c>
      <c r="D3878" s="1374">
        <v>17</v>
      </c>
      <c r="E3878" s="1406">
        <f t="shared" si="493"/>
        <v>0.48571428571428571</v>
      </c>
      <c r="F3878" s="1374">
        <v>60</v>
      </c>
      <c r="G3878" s="1374">
        <v>25</v>
      </c>
      <c r="H3878" s="1406"/>
      <c r="I3878" s="1413">
        <f t="shared" si="496"/>
        <v>95</v>
      </c>
      <c r="J3878" s="695">
        <f t="shared" si="495"/>
        <v>42</v>
      </c>
      <c r="K3878" s="855">
        <f t="shared" si="494"/>
        <v>0.44210526315789472</v>
      </c>
    </row>
    <row r="3879" spans="1:11" ht="24.95" customHeight="1">
      <c r="A3879" s="448" t="s">
        <v>6418</v>
      </c>
      <c r="B3879" s="1457" t="s">
        <v>6419</v>
      </c>
      <c r="C3879" s="1374">
        <v>570</v>
      </c>
      <c r="D3879" s="1374">
        <v>327</v>
      </c>
      <c r="E3879" s="1406">
        <f t="shared" si="493"/>
        <v>0.5736842105263158</v>
      </c>
      <c r="F3879" s="1458">
        <v>120</v>
      </c>
      <c r="G3879" s="1458">
        <v>42</v>
      </c>
      <c r="H3879" s="1459"/>
      <c r="I3879" s="1413">
        <f t="shared" si="496"/>
        <v>690</v>
      </c>
      <c r="J3879" s="695">
        <f t="shared" si="495"/>
        <v>369</v>
      </c>
      <c r="K3879" s="855">
        <f t="shared" si="494"/>
        <v>0.5347826086956522</v>
      </c>
    </row>
    <row r="3880" spans="1:11" ht="24.95" customHeight="1">
      <c r="A3880" s="448" t="s">
        <v>6420</v>
      </c>
      <c r="B3880" s="1457" t="s">
        <v>6421</v>
      </c>
      <c r="C3880" s="1374">
        <v>580</v>
      </c>
      <c r="D3880" s="1374">
        <v>328</v>
      </c>
      <c r="E3880" s="1406">
        <f t="shared" si="493"/>
        <v>0.56551724137931036</v>
      </c>
      <c r="F3880" s="1458">
        <v>135</v>
      </c>
      <c r="G3880" s="1458">
        <f>42+4</f>
        <v>46</v>
      </c>
      <c r="H3880" s="1459"/>
      <c r="I3880" s="1413">
        <f t="shared" si="496"/>
        <v>715</v>
      </c>
      <c r="J3880" s="695">
        <f t="shared" si="495"/>
        <v>374</v>
      </c>
      <c r="K3880" s="855">
        <f t="shared" si="494"/>
        <v>0.52307692307692311</v>
      </c>
    </row>
    <row r="3881" spans="1:11" ht="24.95" customHeight="1">
      <c r="A3881" s="448" t="s">
        <v>6329</v>
      </c>
      <c r="B3881" s="1457" t="s">
        <v>6330</v>
      </c>
      <c r="C3881" s="1374">
        <v>200</v>
      </c>
      <c r="D3881" s="1374">
        <v>65</v>
      </c>
      <c r="E3881" s="1406">
        <f t="shared" si="493"/>
        <v>0.32500000000000001</v>
      </c>
      <c r="F3881" s="1458">
        <v>200</v>
      </c>
      <c r="G3881" s="1458">
        <f>32+4</f>
        <v>36</v>
      </c>
      <c r="H3881" s="1459"/>
      <c r="I3881" s="1413">
        <f t="shared" si="496"/>
        <v>400</v>
      </c>
      <c r="J3881" s="695">
        <f t="shared" si="495"/>
        <v>101</v>
      </c>
      <c r="K3881" s="855">
        <f t="shared" si="494"/>
        <v>0.2525</v>
      </c>
    </row>
    <row r="3882" spans="1:11" ht="24.95" customHeight="1">
      <c r="A3882" s="1262" t="s">
        <v>3164</v>
      </c>
      <c r="B3882" s="1460" t="s">
        <v>6422</v>
      </c>
      <c r="C3882" s="1374">
        <v>2</v>
      </c>
      <c r="D3882" s="1374"/>
      <c r="E3882" s="1406">
        <f t="shared" si="493"/>
        <v>0</v>
      </c>
      <c r="F3882" s="1458">
        <v>20</v>
      </c>
      <c r="G3882" s="1458"/>
      <c r="H3882" s="1459"/>
      <c r="I3882" s="1413">
        <f t="shared" si="496"/>
        <v>22</v>
      </c>
      <c r="J3882" s="695">
        <f t="shared" si="495"/>
        <v>0</v>
      </c>
      <c r="K3882" s="855">
        <f t="shared" si="494"/>
        <v>0</v>
      </c>
    </row>
    <row r="3883" spans="1:11" ht="24.95" customHeight="1">
      <c r="A3883" s="448" t="s">
        <v>6423</v>
      </c>
      <c r="B3883" s="1457" t="s">
        <v>6424</v>
      </c>
      <c r="C3883" s="1374"/>
      <c r="D3883" s="1374"/>
      <c r="E3883" s="1406" t="e">
        <f t="shared" si="493"/>
        <v>#DIV/0!</v>
      </c>
      <c r="F3883" s="1458"/>
      <c r="G3883" s="1458"/>
      <c r="H3883" s="1459"/>
      <c r="I3883" s="1413">
        <f t="shared" si="496"/>
        <v>0</v>
      </c>
      <c r="J3883" s="695">
        <f t="shared" si="495"/>
        <v>0</v>
      </c>
      <c r="K3883" s="855" t="e">
        <f t="shared" si="494"/>
        <v>#DIV/0!</v>
      </c>
    </row>
    <row r="3884" spans="1:11" ht="24.95" customHeight="1">
      <c r="A3884" s="448" t="s">
        <v>6425</v>
      </c>
      <c r="B3884" s="1457" t="s">
        <v>6426</v>
      </c>
      <c r="C3884" s="1374"/>
      <c r="D3884" s="1374"/>
      <c r="E3884" s="1406" t="e">
        <f t="shared" si="493"/>
        <v>#DIV/0!</v>
      </c>
      <c r="F3884" s="1374"/>
      <c r="G3884" s="1374"/>
      <c r="H3884" s="1406"/>
      <c r="I3884" s="1413">
        <f t="shared" si="496"/>
        <v>0</v>
      </c>
      <c r="J3884" s="695">
        <f t="shared" si="495"/>
        <v>0</v>
      </c>
      <c r="K3884" s="855" t="e">
        <f t="shared" si="494"/>
        <v>#DIV/0!</v>
      </c>
    </row>
    <row r="3885" spans="1:11" ht="24.95" customHeight="1">
      <c r="A3885" s="1262" t="s">
        <v>6427</v>
      </c>
      <c r="B3885" s="1460" t="s">
        <v>6428</v>
      </c>
      <c r="C3885" s="1374"/>
      <c r="D3885" s="1374"/>
      <c r="E3885" s="1406" t="e">
        <f t="shared" si="493"/>
        <v>#DIV/0!</v>
      </c>
      <c r="F3885" s="1374"/>
      <c r="G3885" s="1374"/>
      <c r="H3885" s="1406"/>
      <c r="I3885" s="1413">
        <f t="shared" si="496"/>
        <v>0</v>
      </c>
      <c r="J3885" s="695">
        <f t="shared" si="495"/>
        <v>0</v>
      </c>
      <c r="K3885" s="855" t="e">
        <f t="shared" si="494"/>
        <v>#DIV/0!</v>
      </c>
    </row>
    <row r="3886" spans="1:11" ht="24.95" customHeight="1">
      <c r="A3886" s="448" t="s">
        <v>6429</v>
      </c>
      <c r="B3886" s="1457" t="s">
        <v>6430</v>
      </c>
      <c r="C3886" s="1374"/>
      <c r="D3886" s="1374"/>
      <c r="E3886" s="1406" t="e">
        <f t="shared" si="493"/>
        <v>#DIV/0!</v>
      </c>
      <c r="F3886" s="1374"/>
      <c r="G3886" s="1374"/>
      <c r="H3886" s="1406"/>
      <c r="I3886" s="1413">
        <f t="shared" si="496"/>
        <v>0</v>
      </c>
      <c r="J3886" s="695">
        <f t="shared" si="495"/>
        <v>0</v>
      </c>
      <c r="K3886" s="855" t="e">
        <f t="shared" si="494"/>
        <v>#DIV/0!</v>
      </c>
    </row>
    <row r="3887" spans="1:11" ht="24.95" customHeight="1">
      <c r="A3887" s="448" t="s">
        <v>6431</v>
      </c>
      <c r="B3887" s="1457" t="s">
        <v>6432</v>
      </c>
      <c r="C3887" s="1374"/>
      <c r="D3887" s="1374"/>
      <c r="E3887" s="1406" t="e">
        <f t="shared" si="493"/>
        <v>#DIV/0!</v>
      </c>
      <c r="F3887" s="1374">
        <v>1</v>
      </c>
      <c r="G3887" s="1374">
        <v>1</v>
      </c>
      <c r="H3887" s="1406"/>
      <c r="I3887" s="1413">
        <f t="shared" si="496"/>
        <v>1</v>
      </c>
      <c r="J3887" s="695">
        <f t="shared" si="495"/>
        <v>1</v>
      </c>
      <c r="K3887" s="855">
        <f t="shared" si="494"/>
        <v>1</v>
      </c>
    </row>
    <row r="3888" spans="1:11" ht="24.95" customHeight="1">
      <c r="A3888" s="448" t="s">
        <v>3013</v>
      </c>
      <c r="B3888" s="1457" t="s">
        <v>6433</v>
      </c>
      <c r="C3888" s="1374"/>
      <c r="D3888" s="1374"/>
      <c r="E3888" s="1406" t="e">
        <f t="shared" si="493"/>
        <v>#DIV/0!</v>
      </c>
      <c r="F3888" s="1374">
        <v>70</v>
      </c>
      <c r="G3888" s="1374">
        <v>29</v>
      </c>
      <c r="H3888" s="1406"/>
      <c r="I3888" s="1413">
        <f t="shared" si="496"/>
        <v>70</v>
      </c>
      <c r="J3888" s="695">
        <f t="shared" si="495"/>
        <v>29</v>
      </c>
      <c r="K3888" s="855">
        <f t="shared" si="494"/>
        <v>0.41428571428571431</v>
      </c>
    </row>
    <row r="3889" spans="1:11" ht="24.95" customHeight="1">
      <c r="A3889" s="456" t="s">
        <v>3115</v>
      </c>
      <c r="B3889" s="1461" t="s">
        <v>3053</v>
      </c>
      <c r="C3889" s="1374"/>
      <c r="D3889" s="1374"/>
      <c r="E3889" s="1406" t="e">
        <f t="shared" si="493"/>
        <v>#DIV/0!</v>
      </c>
      <c r="F3889" s="1374"/>
      <c r="G3889" s="1374"/>
      <c r="H3889" s="1406"/>
      <c r="I3889" s="1413">
        <f t="shared" si="496"/>
        <v>0</v>
      </c>
      <c r="J3889" s="695">
        <f t="shared" si="495"/>
        <v>0</v>
      </c>
      <c r="K3889" s="855" t="e">
        <f t="shared" si="494"/>
        <v>#DIV/0!</v>
      </c>
    </row>
    <row r="3890" spans="1:11" ht="24.95" customHeight="1">
      <c r="A3890" s="456">
        <v>130207</v>
      </c>
      <c r="B3890" s="1461" t="s">
        <v>2390</v>
      </c>
      <c r="C3890" s="1374"/>
      <c r="D3890" s="1374"/>
      <c r="E3890" s="1406" t="e">
        <f t="shared" si="493"/>
        <v>#DIV/0!</v>
      </c>
      <c r="F3890" s="1374">
        <v>11</v>
      </c>
      <c r="G3890" s="1374">
        <v>5</v>
      </c>
      <c r="H3890" s="1406"/>
      <c r="I3890" s="1413">
        <f t="shared" si="496"/>
        <v>11</v>
      </c>
      <c r="J3890" s="695">
        <f t="shared" si="495"/>
        <v>5</v>
      </c>
      <c r="K3890" s="855">
        <f t="shared" si="494"/>
        <v>0.45454545454545453</v>
      </c>
    </row>
    <row r="3891" spans="1:11" ht="24.95" customHeight="1">
      <c r="A3891" s="456" t="s">
        <v>2393</v>
      </c>
      <c r="B3891" s="1461" t="s">
        <v>2394</v>
      </c>
      <c r="C3891" s="1374"/>
      <c r="D3891" s="1374"/>
      <c r="E3891" s="1406" t="e">
        <f t="shared" si="493"/>
        <v>#DIV/0!</v>
      </c>
      <c r="F3891" s="1374"/>
      <c r="G3891" s="1374"/>
      <c r="H3891" s="1406"/>
      <c r="I3891" s="1413">
        <f t="shared" si="496"/>
        <v>0</v>
      </c>
      <c r="J3891" s="695">
        <f t="shared" si="495"/>
        <v>0</v>
      </c>
      <c r="K3891" s="855" t="e">
        <f t="shared" si="494"/>
        <v>#DIV/0!</v>
      </c>
    </row>
    <row r="3892" spans="1:11" ht="24.95" customHeight="1">
      <c r="A3892" s="456" t="s">
        <v>2395</v>
      </c>
      <c r="B3892" s="1461" t="s">
        <v>2396</v>
      </c>
      <c r="C3892" s="1374"/>
      <c r="D3892" s="1374"/>
      <c r="E3892" s="1406" t="e">
        <f t="shared" si="493"/>
        <v>#DIV/0!</v>
      </c>
      <c r="F3892" s="1374">
        <v>1</v>
      </c>
      <c r="G3892" s="1374">
        <v>3</v>
      </c>
      <c r="H3892" s="1406"/>
      <c r="I3892" s="1413">
        <f t="shared" si="496"/>
        <v>1</v>
      </c>
      <c r="J3892" s="695">
        <f t="shared" si="495"/>
        <v>3</v>
      </c>
      <c r="K3892" s="855">
        <f t="shared" si="494"/>
        <v>3</v>
      </c>
    </row>
    <row r="3893" spans="1:11" ht="24.95" customHeight="1">
      <c r="A3893" s="456" t="s">
        <v>2401</v>
      </c>
      <c r="B3893" s="1462" t="s">
        <v>2402</v>
      </c>
      <c r="C3893" s="1374">
        <v>5</v>
      </c>
      <c r="D3893" s="1374"/>
      <c r="E3893" s="1406">
        <f t="shared" si="493"/>
        <v>0</v>
      </c>
      <c r="F3893" s="1374">
        <v>350</v>
      </c>
      <c r="G3893" s="1374">
        <v>132</v>
      </c>
      <c r="H3893" s="1406"/>
      <c r="I3893" s="1413">
        <f t="shared" si="496"/>
        <v>355</v>
      </c>
      <c r="J3893" s="695">
        <f t="shared" si="495"/>
        <v>132</v>
      </c>
      <c r="K3893" s="855">
        <f t="shared" si="494"/>
        <v>0.37183098591549296</v>
      </c>
    </row>
    <row r="3894" spans="1:11" ht="24.95" customHeight="1">
      <c r="A3894" s="456">
        <v>340231</v>
      </c>
      <c r="B3894" s="1461" t="s">
        <v>6434</v>
      </c>
      <c r="C3894" s="1374"/>
      <c r="D3894" s="1374"/>
      <c r="E3894" s="1406" t="e">
        <f t="shared" si="493"/>
        <v>#DIV/0!</v>
      </c>
      <c r="F3894" s="1374"/>
      <c r="G3894" s="1374"/>
      <c r="H3894" s="1406"/>
      <c r="I3894" s="1413">
        <f t="shared" si="496"/>
        <v>0</v>
      </c>
      <c r="J3894" s="695">
        <f t="shared" si="495"/>
        <v>0</v>
      </c>
      <c r="K3894" s="855" t="e">
        <f t="shared" si="494"/>
        <v>#DIV/0!</v>
      </c>
    </row>
    <row r="3895" spans="1:11" ht="24.95" customHeight="1">
      <c r="A3895" s="456" t="s">
        <v>2429</v>
      </c>
      <c r="B3895" s="1461" t="s">
        <v>2430</v>
      </c>
      <c r="C3895" s="1374"/>
      <c r="D3895" s="1374"/>
      <c r="E3895" s="1406" t="e">
        <f t="shared" si="493"/>
        <v>#DIV/0!</v>
      </c>
      <c r="F3895" s="1374">
        <v>20</v>
      </c>
      <c r="G3895" s="1374"/>
      <c r="H3895" s="1406"/>
      <c r="I3895" s="1413">
        <f t="shared" si="496"/>
        <v>20</v>
      </c>
      <c r="J3895" s="695">
        <f t="shared" si="495"/>
        <v>0</v>
      </c>
      <c r="K3895" s="855">
        <f t="shared" si="494"/>
        <v>0</v>
      </c>
    </row>
    <row r="3896" spans="1:11" ht="24.95" customHeight="1">
      <c r="A3896" s="456" t="s">
        <v>2439</v>
      </c>
      <c r="B3896" s="1461" t="s">
        <v>2440</v>
      </c>
      <c r="C3896" s="1374"/>
      <c r="D3896" s="1374">
        <v>1</v>
      </c>
      <c r="E3896" s="1406" t="e">
        <f t="shared" si="493"/>
        <v>#DIV/0!</v>
      </c>
      <c r="F3896" s="1374">
        <v>10</v>
      </c>
      <c r="G3896" s="1374">
        <v>21</v>
      </c>
      <c r="H3896" s="1406"/>
      <c r="I3896" s="1413">
        <f t="shared" si="496"/>
        <v>10</v>
      </c>
      <c r="J3896" s="695">
        <f t="shared" si="495"/>
        <v>22</v>
      </c>
      <c r="K3896" s="855">
        <f t="shared" si="494"/>
        <v>2.2000000000000002</v>
      </c>
    </row>
    <row r="3897" spans="1:11" ht="24.95" customHeight="1">
      <c r="A3897" s="456" t="s">
        <v>5262</v>
      </c>
      <c r="B3897" s="1461" t="s">
        <v>5263</v>
      </c>
      <c r="C3897" s="1374">
        <v>30</v>
      </c>
      <c r="D3897" s="1374">
        <v>15</v>
      </c>
      <c r="E3897" s="1406">
        <f t="shared" si="493"/>
        <v>0.5</v>
      </c>
      <c r="F3897" s="1374">
        <v>1</v>
      </c>
      <c r="G3897" s="1374">
        <v>15</v>
      </c>
      <c r="H3897" s="1406"/>
      <c r="I3897" s="1413">
        <f t="shared" si="496"/>
        <v>31</v>
      </c>
      <c r="J3897" s="695">
        <f t="shared" si="495"/>
        <v>30</v>
      </c>
      <c r="K3897" s="855">
        <f t="shared" si="494"/>
        <v>0.967741935483871</v>
      </c>
    </row>
    <row r="3898" spans="1:11" ht="24.95" customHeight="1">
      <c r="A3898" s="456" t="s">
        <v>6435</v>
      </c>
      <c r="B3898" s="1461" t="s">
        <v>6436</v>
      </c>
      <c r="C3898" s="1374">
        <v>10</v>
      </c>
      <c r="D3898" s="1374">
        <v>1</v>
      </c>
      <c r="E3898" s="1406">
        <f t="shared" si="493"/>
        <v>0.1</v>
      </c>
      <c r="F3898" s="1374"/>
      <c r="G3898" s="1374">
        <v>2</v>
      </c>
      <c r="H3898" s="1406"/>
      <c r="I3898" s="1413">
        <f t="shared" si="496"/>
        <v>10</v>
      </c>
      <c r="J3898" s="695">
        <f t="shared" si="495"/>
        <v>3</v>
      </c>
      <c r="K3898" s="855">
        <f t="shared" si="494"/>
        <v>0.3</v>
      </c>
    </row>
    <row r="3899" spans="1:11" ht="24.95" customHeight="1">
      <c r="A3899" s="456" t="s">
        <v>2449</v>
      </c>
      <c r="B3899" s="1461" t="s">
        <v>2450</v>
      </c>
      <c r="C3899" s="1374"/>
      <c r="D3899" s="1374"/>
      <c r="E3899" s="1406" t="e">
        <f t="shared" si="493"/>
        <v>#DIV/0!</v>
      </c>
      <c r="F3899" s="1374"/>
      <c r="G3899" s="1374"/>
      <c r="H3899" s="1406"/>
      <c r="I3899" s="1413">
        <f t="shared" si="496"/>
        <v>0</v>
      </c>
      <c r="J3899" s="695">
        <f t="shared" si="495"/>
        <v>0</v>
      </c>
      <c r="K3899" s="855" t="e">
        <f t="shared" si="494"/>
        <v>#DIV/0!</v>
      </c>
    </row>
    <row r="3900" spans="1:11" ht="24.95" customHeight="1">
      <c r="A3900" s="456" t="s">
        <v>3039</v>
      </c>
      <c r="B3900" s="1461" t="s">
        <v>3803</v>
      </c>
      <c r="C3900" s="1374"/>
      <c r="D3900" s="1374"/>
      <c r="E3900" s="1406" t="e">
        <f t="shared" si="493"/>
        <v>#DIV/0!</v>
      </c>
      <c r="F3900" s="1374">
        <v>15</v>
      </c>
      <c r="G3900" s="1374">
        <v>6</v>
      </c>
      <c r="H3900" s="1406"/>
      <c r="I3900" s="1413">
        <f t="shared" si="496"/>
        <v>15</v>
      </c>
      <c r="J3900" s="695">
        <f t="shared" si="495"/>
        <v>6</v>
      </c>
      <c r="K3900" s="855">
        <f t="shared" si="494"/>
        <v>0.4</v>
      </c>
    </row>
    <row r="3901" spans="1:11" ht="24.95" customHeight="1">
      <c r="A3901" s="456" t="s">
        <v>3084</v>
      </c>
      <c r="B3901" s="1461" t="s">
        <v>2470</v>
      </c>
      <c r="C3901" s="1374"/>
      <c r="D3901" s="1374"/>
      <c r="E3901" s="1406" t="e">
        <f t="shared" si="493"/>
        <v>#DIV/0!</v>
      </c>
      <c r="F3901" s="1374">
        <v>5</v>
      </c>
      <c r="G3901" s="1374">
        <v>1</v>
      </c>
      <c r="H3901" s="1406"/>
      <c r="I3901" s="1413">
        <f t="shared" si="496"/>
        <v>5</v>
      </c>
      <c r="J3901" s="695">
        <f t="shared" si="495"/>
        <v>1</v>
      </c>
      <c r="K3901" s="855">
        <f t="shared" si="494"/>
        <v>0.2</v>
      </c>
    </row>
    <row r="3902" spans="1:11" ht="24.95" customHeight="1">
      <c r="A3902" s="456" t="s">
        <v>2933</v>
      </c>
      <c r="B3902" s="1461" t="s">
        <v>2934</v>
      </c>
      <c r="C3902" s="1374">
        <v>2</v>
      </c>
      <c r="D3902" s="1374"/>
      <c r="E3902" s="1406">
        <f t="shared" si="493"/>
        <v>0</v>
      </c>
      <c r="F3902" s="1374">
        <v>25</v>
      </c>
      <c r="G3902" s="1374">
        <v>7</v>
      </c>
      <c r="H3902" s="1406"/>
      <c r="I3902" s="1413">
        <f t="shared" si="496"/>
        <v>27</v>
      </c>
      <c r="J3902" s="695">
        <f t="shared" si="495"/>
        <v>7</v>
      </c>
      <c r="K3902" s="855">
        <f t="shared" si="494"/>
        <v>0.25925925925925924</v>
      </c>
    </row>
    <row r="3903" spans="1:11" ht="24.95" customHeight="1">
      <c r="A3903" s="456" t="s">
        <v>6260</v>
      </c>
      <c r="B3903" s="1461" t="s">
        <v>6261</v>
      </c>
      <c r="C3903" s="1374"/>
      <c r="D3903" s="1374"/>
      <c r="E3903" s="1406" t="e">
        <f t="shared" si="493"/>
        <v>#DIV/0!</v>
      </c>
      <c r="F3903" s="1374">
        <v>1</v>
      </c>
      <c r="G3903" s="1374"/>
      <c r="H3903" s="1406"/>
      <c r="I3903" s="1413">
        <f t="shared" si="496"/>
        <v>1</v>
      </c>
      <c r="J3903" s="695">
        <f t="shared" si="495"/>
        <v>0</v>
      </c>
      <c r="K3903" s="855">
        <f t="shared" si="494"/>
        <v>0</v>
      </c>
    </row>
    <row r="3904" spans="1:11" ht="24.95" customHeight="1">
      <c r="A3904" s="456" t="s">
        <v>3857</v>
      </c>
      <c r="B3904" s="1461" t="s">
        <v>3858</v>
      </c>
      <c r="C3904" s="1374">
        <v>50</v>
      </c>
      <c r="D3904" s="1374"/>
      <c r="E3904" s="1406">
        <f t="shared" si="493"/>
        <v>0</v>
      </c>
      <c r="F3904" s="1374"/>
      <c r="G3904" s="1374"/>
      <c r="H3904" s="1406"/>
      <c r="I3904" s="1413">
        <f t="shared" si="496"/>
        <v>50</v>
      </c>
      <c r="J3904" s="695">
        <f t="shared" si="495"/>
        <v>0</v>
      </c>
      <c r="K3904" s="855">
        <f t="shared" si="494"/>
        <v>0</v>
      </c>
    </row>
    <row r="3905" spans="1:11" ht="24.95" customHeight="1">
      <c r="A3905" s="456" t="s">
        <v>2615</v>
      </c>
      <c r="B3905" s="1461" t="s">
        <v>3200</v>
      </c>
      <c r="C3905" s="1374"/>
      <c r="D3905" s="1374"/>
      <c r="E3905" s="1406" t="e">
        <f t="shared" ref="E3905:E3937" si="497">+D3905/C3905</f>
        <v>#DIV/0!</v>
      </c>
      <c r="F3905" s="1374">
        <v>600</v>
      </c>
      <c r="G3905" s="1374">
        <v>900</v>
      </c>
      <c r="H3905" s="1406"/>
      <c r="I3905" s="1413">
        <f t="shared" si="496"/>
        <v>600</v>
      </c>
      <c r="J3905" s="695">
        <f t="shared" si="495"/>
        <v>900</v>
      </c>
      <c r="K3905" s="855">
        <f t="shared" ref="K3905:K3937" si="498">+J3905/I3905</f>
        <v>1.5</v>
      </c>
    </row>
    <row r="3906" spans="1:11" ht="24.95" customHeight="1">
      <c r="A3906" s="456" t="s">
        <v>2959</v>
      </c>
      <c r="B3906" s="1461" t="s">
        <v>2960</v>
      </c>
      <c r="C3906" s="1374"/>
      <c r="D3906" s="1374"/>
      <c r="E3906" s="1406" t="e">
        <f t="shared" si="497"/>
        <v>#DIV/0!</v>
      </c>
      <c r="F3906" s="1374">
        <v>5</v>
      </c>
      <c r="G3906" s="1374"/>
      <c r="H3906" s="1406"/>
      <c r="I3906" s="1413">
        <f t="shared" si="496"/>
        <v>5</v>
      </c>
      <c r="J3906" s="695">
        <f t="shared" si="495"/>
        <v>0</v>
      </c>
      <c r="K3906" s="855">
        <f t="shared" si="498"/>
        <v>0</v>
      </c>
    </row>
    <row r="3907" spans="1:11" ht="24.95" customHeight="1">
      <c r="A3907" s="456" t="s">
        <v>2327</v>
      </c>
      <c r="B3907" s="1461" t="s">
        <v>2328</v>
      </c>
      <c r="C3907" s="1374"/>
      <c r="D3907" s="1374"/>
      <c r="E3907" s="1406" t="e">
        <f t="shared" si="497"/>
        <v>#DIV/0!</v>
      </c>
      <c r="F3907" s="1374">
        <v>70</v>
      </c>
      <c r="G3907" s="1374">
        <v>27</v>
      </c>
      <c r="H3907" s="1406"/>
      <c r="I3907" s="1413">
        <f t="shared" si="496"/>
        <v>70</v>
      </c>
      <c r="J3907" s="695">
        <f t="shared" si="495"/>
        <v>27</v>
      </c>
      <c r="K3907" s="855">
        <f t="shared" si="498"/>
        <v>0.38571428571428573</v>
      </c>
    </row>
    <row r="3908" spans="1:11" ht="24.95" customHeight="1">
      <c r="A3908" s="456" t="s">
        <v>3753</v>
      </c>
      <c r="B3908" s="1461" t="s">
        <v>6267</v>
      </c>
      <c r="C3908" s="1374"/>
      <c r="D3908" s="1374"/>
      <c r="E3908" s="1406" t="e">
        <f t="shared" si="497"/>
        <v>#DIV/0!</v>
      </c>
      <c r="F3908" s="1374">
        <v>1</v>
      </c>
      <c r="G3908" s="1374"/>
      <c r="H3908" s="1406"/>
      <c r="I3908" s="1413">
        <f t="shared" si="496"/>
        <v>1</v>
      </c>
      <c r="J3908" s="695">
        <f t="shared" si="495"/>
        <v>0</v>
      </c>
      <c r="K3908" s="855">
        <f t="shared" si="498"/>
        <v>0</v>
      </c>
    </row>
    <row r="3909" spans="1:11" ht="24.95" customHeight="1">
      <c r="A3909" s="1235" t="s">
        <v>3046</v>
      </c>
      <c r="B3909" s="1463" t="s">
        <v>3047</v>
      </c>
      <c r="C3909" s="1374">
        <v>2</v>
      </c>
      <c r="D3909" s="1374"/>
      <c r="E3909" s="1406">
        <f t="shared" si="497"/>
        <v>0</v>
      </c>
      <c r="F3909" s="1374">
        <v>10</v>
      </c>
      <c r="G3909" s="1374">
        <v>2</v>
      </c>
      <c r="H3909" s="1406"/>
      <c r="I3909" s="1413">
        <f t="shared" si="496"/>
        <v>12</v>
      </c>
      <c r="J3909" s="695">
        <f t="shared" si="495"/>
        <v>2</v>
      </c>
      <c r="K3909" s="855">
        <f t="shared" si="498"/>
        <v>0.16666666666666666</v>
      </c>
    </row>
    <row r="3910" spans="1:11" ht="24.95" customHeight="1">
      <c r="A3910" s="1235" t="s">
        <v>3205</v>
      </c>
      <c r="B3910" s="1463" t="s">
        <v>3206</v>
      </c>
      <c r="C3910" s="1374"/>
      <c r="D3910" s="1374"/>
      <c r="E3910" s="1406" t="e">
        <f t="shared" si="497"/>
        <v>#DIV/0!</v>
      </c>
      <c r="F3910" s="1374">
        <v>10</v>
      </c>
      <c r="G3910" s="1374">
        <v>1</v>
      </c>
      <c r="H3910" s="1406"/>
      <c r="I3910" s="1413">
        <f t="shared" si="496"/>
        <v>10</v>
      </c>
      <c r="J3910" s="695">
        <f t="shared" si="495"/>
        <v>1</v>
      </c>
      <c r="K3910" s="855">
        <f t="shared" si="498"/>
        <v>0.1</v>
      </c>
    </row>
    <row r="3911" spans="1:11" ht="24.95" customHeight="1">
      <c r="A3911" s="1235" t="s">
        <v>2620</v>
      </c>
      <c r="B3911" s="1463" t="s">
        <v>2621</v>
      </c>
      <c r="C3911" s="1374">
        <v>1200</v>
      </c>
      <c r="D3911" s="1374">
        <v>587</v>
      </c>
      <c r="E3911" s="1406">
        <f t="shared" si="497"/>
        <v>0.48916666666666669</v>
      </c>
      <c r="F3911" s="1374">
        <v>4200</v>
      </c>
      <c r="G3911" s="1374">
        <v>900</v>
      </c>
      <c r="H3911" s="1406"/>
      <c r="I3911" s="1413">
        <f t="shared" si="496"/>
        <v>5400</v>
      </c>
      <c r="J3911" s="695">
        <f t="shared" si="495"/>
        <v>1487</v>
      </c>
      <c r="K3911" s="855">
        <f t="shared" si="498"/>
        <v>0.27537037037037038</v>
      </c>
    </row>
    <row r="3912" spans="1:11" ht="24.95" customHeight="1">
      <c r="A3912" s="1235" t="s">
        <v>2624</v>
      </c>
      <c r="B3912" s="1463" t="s">
        <v>2330</v>
      </c>
      <c r="C3912" s="1374"/>
      <c r="D3912" s="1374"/>
      <c r="E3912" s="1406" t="e">
        <f t="shared" si="497"/>
        <v>#DIV/0!</v>
      </c>
      <c r="F3912" s="1374">
        <v>5</v>
      </c>
      <c r="G3912" s="1374">
        <v>21</v>
      </c>
      <c r="H3912" s="1406"/>
      <c r="I3912" s="1413">
        <f t="shared" si="496"/>
        <v>5</v>
      </c>
      <c r="J3912" s="695">
        <f t="shared" si="495"/>
        <v>21</v>
      </c>
      <c r="K3912" s="855">
        <f t="shared" si="498"/>
        <v>4.2</v>
      </c>
    </row>
    <row r="3913" spans="1:11" ht="24.95" customHeight="1">
      <c r="A3913" s="1235" t="s">
        <v>2629</v>
      </c>
      <c r="B3913" s="1463" t="s">
        <v>2630</v>
      </c>
      <c r="C3913" s="1374">
        <v>35</v>
      </c>
      <c r="D3913" s="1374">
        <v>7</v>
      </c>
      <c r="E3913" s="1406">
        <f t="shared" si="497"/>
        <v>0.2</v>
      </c>
      <c r="F3913" s="1374">
        <v>700</v>
      </c>
      <c r="G3913" s="1374">
        <v>90</v>
      </c>
      <c r="H3913" s="1406"/>
      <c r="I3913" s="1413">
        <f t="shared" si="496"/>
        <v>735</v>
      </c>
      <c r="J3913" s="695">
        <f t="shared" si="495"/>
        <v>97</v>
      </c>
      <c r="K3913" s="855">
        <f t="shared" si="498"/>
        <v>0.13197278911564625</v>
      </c>
    </row>
    <row r="3914" spans="1:11" ht="24.95" customHeight="1">
      <c r="A3914" s="1235" t="s">
        <v>2631</v>
      </c>
      <c r="B3914" s="1463" t="s">
        <v>2632</v>
      </c>
      <c r="C3914" s="1374">
        <v>15</v>
      </c>
      <c r="D3914" s="1374">
        <v>2</v>
      </c>
      <c r="E3914" s="1406">
        <f t="shared" si="497"/>
        <v>0.13333333333333333</v>
      </c>
      <c r="F3914" s="1374">
        <v>450</v>
      </c>
      <c r="G3914" s="1374">
        <v>69</v>
      </c>
      <c r="H3914" s="1406"/>
      <c r="I3914" s="1413">
        <f t="shared" si="496"/>
        <v>465</v>
      </c>
      <c r="J3914" s="695">
        <f t="shared" si="495"/>
        <v>71</v>
      </c>
      <c r="K3914" s="855">
        <f t="shared" si="498"/>
        <v>0.15268817204301074</v>
      </c>
    </row>
    <row r="3915" spans="1:11" ht="24.95" customHeight="1">
      <c r="A3915" s="456" t="s">
        <v>2178</v>
      </c>
      <c r="B3915" s="1464" t="s">
        <v>2179</v>
      </c>
      <c r="C3915" s="1374">
        <v>65</v>
      </c>
      <c r="D3915" s="1374">
        <v>23</v>
      </c>
      <c r="E3915" s="1406">
        <f t="shared" si="497"/>
        <v>0.35384615384615387</v>
      </c>
      <c r="F3915" s="1374">
        <v>2000</v>
      </c>
      <c r="G3915" s="1374">
        <v>414</v>
      </c>
      <c r="H3915" s="1406"/>
      <c r="I3915" s="1413">
        <f t="shared" si="496"/>
        <v>2065</v>
      </c>
      <c r="J3915" s="695">
        <f t="shared" si="495"/>
        <v>437</v>
      </c>
      <c r="K3915" s="855">
        <f t="shared" si="498"/>
        <v>0.2116222760290557</v>
      </c>
    </row>
    <row r="3916" spans="1:11" ht="24.95" customHeight="1">
      <c r="A3916" s="456" t="s">
        <v>2633</v>
      </c>
      <c r="B3916" s="1463" t="s">
        <v>2965</v>
      </c>
      <c r="C3916" s="1374"/>
      <c r="D3916" s="1374"/>
      <c r="E3916" s="1406" t="e">
        <f t="shared" si="497"/>
        <v>#DIV/0!</v>
      </c>
      <c r="F3916" s="1374">
        <v>35</v>
      </c>
      <c r="G3916" s="1374">
        <v>16</v>
      </c>
      <c r="H3916" s="1406"/>
      <c r="I3916" s="1413">
        <f t="shared" si="496"/>
        <v>35</v>
      </c>
      <c r="J3916" s="695">
        <f t="shared" si="495"/>
        <v>16</v>
      </c>
      <c r="K3916" s="855">
        <f t="shared" si="498"/>
        <v>0.45714285714285713</v>
      </c>
    </row>
    <row r="3917" spans="1:11" ht="24.95" customHeight="1">
      <c r="A3917" s="1235" t="s">
        <v>2635</v>
      </c>
      <c r="B3917" s="1463" t="s">
        <v>2966</v>
      </c>
      <c r="C3917" s="1374">
        <v>3</v>
      </c>
      <c r="D3917" s="1374"/>
      <c r="E3917" s="1406">
        <f t="shared" si="497"/>
        <v>0</v>
      </c>
      <c r="F3917" s="1374">
        <v>30</v>
      </c>
      <c r="G3917" s="1374">
        <v>5</v>
      </c>
      <c r="H3917" s="1406"/>
      <c r="I3917" s="1413">
        <f t="shared" si="496"/>
        <v>33</v>
      </c>
      <c r="J3917" s="695">
        <f t="shared" si="495"/>
        <v>5</v>
      </c>
      <c r="K3917" s="855">
        <f t="shared" si="498"/>
        <v>0.15151515151515152</v>
      </c>
    </row>
    <row r="3918" spans="1:11" ht="24.95" customHeight="1">
      <c r="A3918" s="1235" t="s">
        <v>2637</v>
      </c>
      <c r="B3918" s="1465" t="s">
        <v>2638</v>
      </c>
      <c r="C3918" s="1374"/>
      <c r="D3918" s="1374"/>
      <c r="E3918" s="1406" t="e">
        <f t="shared" si="497"/>
        <v>#DIV/0!</v>
      </c>
      <c r="F3918" s="1374">
        <v>60</v>
      </c>
      <c r="G3918" s="1374">
        <v>44</v>
      </c>
      <c r="H3918" s="1406"/>
      <c r="I3918" s="1413">
        <f t="shared" si="496"/>
        <v>60</v>
      </c>
      <c r="J3918" s="695">
        <f t="shared" si="495"/>
        <v>44</v>
      </c>
      <c r="K3918" s="855">
        <f t="shared" si="498"/>
        <v>0.73333333333333328</v>
      </c>
    </row>
    <row r="3919" spans="1:11" ht="24.95" customHeight="1">
      <c r="A3919" s="1235" t="s">
        <v>2639</v>
      </c>
      <c r="B3919" s="1463" t="s">
        <v>3048</v>
      </c>
      <c r="C3919" s="1374"/>
      <c r="D3919" s="1374"/>
      <c r="E3919" s="1406" t="e">
        <f t="shared" si="497"/>
        <v>#DIV/0!</v>
      </c>
      <c r="F3919" s="1374">
        <v>5</v>
      </c>
      <c r="G3919" s="1374"/>
      <c r="H3919" s="1406"/>
      <c r="I3919" s="1413">
        <f t="shared" si="496"/>
        <v>5</v>
      </c>
      <c r="J3919" s="695">
        <f t="shared" si="495"/>
        <v>0</v>
      </c>
      <c r="K3919" s="855">
        <f t="shared" si="498"/>
        <v>0</v>
      </c>
    </row>
    <row r="3920" spans="1:11" ht="24.95" customHeight="1">
      <c r="A3920" s="1235" t="s">
        <v>2971</v>
      </c>
      <c r="B3920" s="1463" t="s">
        <v>3207</v>
      </c>
      <c r="C3920" s="1374"/>
      <c r="D3920" s="1374"/>
      <c r="E3920" s="1406" t="e">
        <f t="shared" si="497"/>
        <v>#DIV/0!</v>
      </c>
      <c r="F3920" s="1374">
        <v>5</v>
      </c>
      <c r="G3920" s="1374"/>
      <c r="H3920" s="1406"/>
      <c r="I3920" s="1413">
        <f t="shared" si="496"/>
        <v>5</v>
      </c>
      <c r="J3920" s="695">
        <f t="shared" si="495"/>
        <v>0</v>
      </c>
      <c r="K3920" s="855">
        <f t="shared" si="498"/>
        <v>0</v>
      </c>
    </row>
    <row r="3921" spans="1:11" ht="24.95" customHeight="1">
      <c r="A3921" s="1235" t="s">
        <v>2641</v>
      </c>
      <c r="B3921" s="1463" t="s">
        <v>3148</v>
      </c>
      <c r="C3921" s="1374">
        <v>1</v>
      </c>
      <c r="D3921" s="1374"/>
      <c r="E3921" s="1406">
        <f t="shared" si="497"/>
        <v>0</v>
      </c>
      <c r="F3921" s="1374"/>
      <c r="G3921" s="1374"/>
      <c r="H3921" s="1406"/>
      <c r="I3921" s="1413">
        <f t="shared" si="496"/>
        <v>1</v>
      </c>
      <c r="J3921" s="695">
        <f t="shared" si="495"/>
        <v>0</v>
      </c>
      <c r="K3921" s="855">
        <f t="shared" si="498"/>
        <v>0</v>
      </c>
    </row>
    <row r="3922" spans="1:11" ht="24.95" customHeight="1">
      <c r="A3922" s="1235" t="s">
        <v>2643</v>
      </c>
      <c r="B3922" s="1463" t="s">
        <v>2973</v>
      </c>
      <c r="C3922" s="1374"/>
      <c r="D3922" s="1374"/>
      <c r="E3922" s="1406" t="e">
        <f t="shared" si="497"/>
        <v>#DIV/0!</v>
      </c>
      <c r="F3922" s="1374">
        <v>5</v>
      </c>
      <c r="G3922" s="1374">
        <v>1</v>
      </c>
      <c r="H3922" s="1406"/>
      <c r="I3922" s="1413">
        <f t="shared" si="496"/>
        <v>5</v>
      </c>
      <c r="J3922" s="695">
        <f t="shared" si="496"/>
        <v>1</v>
      </c>
      <c r="K3922" s="855">
        <f t="shared" si="498"/>
        <v>0.2</v>
      </c>
    </row>
    <row r="3923" spans="1:11" ht="24.95" customHeight="1">
      <c r="A3923" s="1235" t="s">
        <v>2974</v>
      </c>
      <c r="B3923" s="1463" t="s">
        <v>6437</v>
      </c>
      <c r="C3923" s="1374"/>
      <c r="D3923" s="1374"/>
      <c r="E3923" s="1406" t="e">
        <f t="shared" si="497"/>
        <v>#DIV/0!</v>
      </c>
      <c r="F3923" s="1374">
        <v>3</v>
      </c>
      <c r="G3923" s="1374"/>
      <c r="H3923" s="1406"/>
      <c r="I3923" s="1413">
        <f t="shared" ref="I3923:J3936" si="499">+C3923+F3923</f>
        <v>3</v>
      </c>
      <c r="J3923" s="695">
        <f t="shared" si="499"/>
        <v>0</v>
      </c>
      <c r="K3923" s="855">
        <f t="shared" si="498"/>
        <v>0</v>
      </c>
    </row>
    <row r="3924" spans="1:11" ht="24.95" customHeight="1">
      <c r="A3924" s="1235" t="s">
        <v>2976</v>
      </c>
      <c r="B3924" s="1463" t="s">
        <v>2977</v>
      </c>
      <c r="C3924" s="1374"/>
      <c r="D3924" s="1374"/>
      <c r="E3924" s="1406" t="e">
        <f t="shared" si="497"/>
        <v>#DIV/0!</v>
      </c>
      <c r="F3924" s="1374">
        <v>3</v>
      </c>
      <c r="G3924" s="1374">
        <v>1</v>
      </c>
      <c r="H3924" s="1406"/>
      <c r="I3924" s="1413">
        <f t="shared" si="499"/>
        <v>3</v>
      </c>
      <c r="J3924" s="695">
        <f t="shared" si="499"/>
        <v>1</v>
      </c>
      <c r="K3924" s="855">
        <f t="shared" si="498"/>
        <v>0.33333333333333331</v>
      </c>
    </row>
    <row r="3925" spans="1:11" ht="24.95" customHeight="1">
      <c r="A3925" s="1235" t="s">
        <v>6438</v>
      </c>
      <c r="B3925" s="1461" t="s">
        <v>6439</v>
      </c>
      <c r="C3925" s="1374"/>
      <c r="D3925" s="1374"/>
      <c r="E3925" s="1406" t="e">
        <f t="shared" si="497"/>
        <v>#DIV/0!</v>
      </c>
      <c r="F3925" s="1374">
        <v>3</v>
      </c>
      <c r="G3925" s="1374"/>
      <c r="H3925" s="1406"/>
      <c r="I3925" s="1413">
        <f t="shared" si="499"/>
        <v>3</v>
      </c>
      <c r="J3925" s="695">
        <f t="shared" si="499"/>
        <v>0</v>
      </c>
      <c r="K3925" s="855">
        <f t="shared" si="498"/>
        <v>0</v>
      </c>
    </row>
    <row r="3926" spans="1:11" ht="24.95" customHeight="1">
      <c r="A3926" s="1235" t="s">
        <v>3049</v>
      </c>
      <c r="B3926" s="1461" t="s">
        <v>3050</v>
      </c>
      <c r="C3926" s="1374">
        <v>1</v>
      </c>
      <c r="D3926" s="1374"/>
      <c r="E3926" s="1406">
        <f t="shared" si="497"/>
        <v>0</v>
      </c>
      <c r="F3926" s="1374">
        <v>5</v>
      </c>
      <c r="G3926" s="1374"/>
      <c r="H3926" s="1406"/>
      <c r="I3926" s="1413">
        <f t="shared" si="499"/>
        <v>6</v>
      </c>
      <c r="J3926" s="695">
        <f t="shared" si="499"/>
        <v>0</v>
      </c>
      <c r="K3926" s="855">
        <f t="shared" si="498"/>
        <v>0</v>
      </c>
    </row>
    <row r="3927" spans="1:11" ht="24.95" customHeight="1">
      <c r="A3927" s="456" t="s">
        <v>2645</v>
      </c>
      <c r="B3927" s="1461" t="s">
        <v>2646</v>
      </c>
      <c r="C3927" s="1374">
        <v>3850</v>
      </c>
      <c r="D3927" s="1374">
        <v>1487</v>
      </c>
      <c r="E3927" s="1406">
        <f t="shared" si="497"/>
        <v>0.38623376623376621</v>
      </c>
      <c r="F3927" s="1374">
        <v>17000</v>
      </c>
      <c r="G3927" s="1374">
        <v>7417</v>
      </c>
      <c r="H3927" s="1406"/>
      <c r="I3927" s="1413">
        <f t="shared" si="499"/>
        <v>20850</v>
      </c>
      <c r="J3927" s="695">
        <f t="shared" si="499"/>
        <v>8904</v>
      </c>
      <c r="K3927" s="855">
        <f t="shared" si="498"/>
        <v>0.42705035971223021</v>
      </c>
    </row>
    <row r="3928" spans="1:11" ht="24.95" customHeight="1">
      <c r="A3928" s="456" t="s">
        <v>6440</v>
      </c>
      <c r="B3928" s="1461" t="s">
        <v>6441</v>
      </c>
      <c r="C3928" s="1374"/>
      <c r="D3928" s="1374"/>
      <c r="E3928" s="1406" t="e">
        <f t="shared" si="497"/>
        <v>#DIV/0!</v>
      </c>
      <c r="F3928" s="1374">
        <v>1</v>
      </c>
      <c r="G3928" s="1374"/>
      <c r="H3928" s="1406"/>
      <c r="I3928" s="1413">
        <f t="shared" si="499"/>
        <v>1</v>
      </c>
      <c r="J3928" s="695">
        <f t="shared" si="499"/>
        <v>0</v>
      </c>
      <c r="K3928" s="855">
        <f t="shared" si="498"/>
        <v>0</v>
      </c>
    </row>
    <row r="3929" spans="1:11" ht="24.95" customHeight="1">
      <c r="A3929" s="456" t="s">
        <v>4431</v>
      </c>
      <c r="B3929" s="1461" t="s">
        <v>4432</v>
      </c>
      <c r="C3929" s="1374"/>
      <c r="D3929" s="1374"/>
      <c r="E3929" s="1406" t="e">
        <f t="shared" si="497"/>
        <v>#DIV/0!</v>
      </c>
      <c r="F3929" s="1374">
        <v>1</v>
      </c>
      <c r="G3929" s="1374"/>
      <c r="H3929" s="1406"/>
      <c r="I3929" s="1413">
        <f t="shared" si="499"/>
        <v>1</v>
      </c>
      <c r="J3929" s="695">
        <f t="shared" si="499"/>
        <v>0</v>
      </c>
      <c r="K3929" s="855">
        <f t="shared" si="498"/>
        <v>0</v>
      </c>
    </row>
    <row r="3930" spans="1:11" ht="24.95" customHeight="1">
      <c r="A3930" s="456" t="s">
        <v>2649</v>
      </c>
      <c r="B3930" s="1461" t="s">
        <v>2650</v>
      </c>
      <c r="C3930" s="1374"/>
      <c r="D3930" s="1374"/>
      <c r="E3930" s="1406" t="e">
        <f t="shared" si="497"/>
        <v>#DIV/0!</v>
      </c>
      <c r="F3930" s="1374">
        <v>110</v>
      </c>
      <c r="G3930" s="1374">
        <v>51</v>
      </c>
      <c r="H3930" s="1406"/>
      <c r="I3930" s="1413">
        <f t="shared" si="499"/>
        <v>110</v>
      </c>
      <c r="J3930" s="695">
        <f t="shared" si="499"/>
        <v>51</v>
      </c>
      <c r="K3930" s="855">
        <f t="shared" si="498"/>
        <v>0.46363636363636362</v>
      </c>
    </row>
    <row r="3931" spans="1:11" ht="24.95" customHeight="1">
      <c r="A3931" s="456" t="s">
        <v>2969</v>
      </c>
      <c r="B3931" s="1461" t="s">
        <v>2970</v>
      </c>
      <c r="C3931" s="1374">
        <v>1</v>
      </c>
      <c r="D3931" s="1374"/>
      <c r="E3931" s="1406">
        <f t="shared" si="497"/>
        <v>0</v>
      </c>
      <c r="F3931" s="1374"/>
      <c r="G3931" s="1374">
        <v>1</v>
      </c>
      <c r="H3931" s="1406"/>
      <c r="I3931" s="1413">
        <f t="shared" si="499"/>
        <v>1</v>
      </c>
      <c r="J3931" s="695">
        <f t="shared" si="499"/>
        <v>1</v>
      </c>
      <c r="K3931" s="855">
        <f t="shared" si="498"/>
        <v>1</v>
      </c>
    </row>
    <row r="3932" spans="1:11" ht="24.95" customHeight="1">
      <c r="A3932" s="456" t="s">
        <v>2657</v>
      </c>
      <c r="B3932" s="1463" t="s">
        <v>2658</v>
      </c>
      <c r="C3932" s="1374"/>
      <c r="D3932" s="1374"/>
      <c r="E3932" s="1406" t="e">
        <f t="shared" si="497"/>
        <v>#DIV/0!</v>
      </c>
      <c r="F3932" s="1374"/>
      <c r="G3932" s="1374"/>
      <c r="H3932" s="1406"/>
      <c r="I3932" s="1413">
        <f t="shared" si="499"/>
        <v>0</v>
      </c>
      <c r="J3932" s="695">
        <f t="shared" si="499"/>
        <v>0</v>
      </c>
      <c r="K3932" s="855" t="e">
        <f t="shared" si="498"/>
        <v>#DIV/0!</v>
      </c>
    </row>
    <row r="3933" spans="1:11" ht="24.95" customHeight="1">
      <c r="A3933" s="456" t="s">
        <v>2667</v>
      </c>
      <c r="B3933" s="1463" t="s">
        <v>3004</v>
      </c>
      <c r="C3933" s="1374"/>
      <c r="D3933" s="1374"/>
      <c r="E3933" s="1406" t="e">
        <f t="shared" si="497"/>
        <v>#DIV/0!</v>
      </c>
      <c r="F3933" s="1374">
        <v>2</v>
      </c>
      <c r="G3933" s="1374">
        <v>3</v>
      </c>
      <c r="H3933" s="1406"/>
      <c r="I3933" s="1413">
        <f t="shared" si="499"/>
        <v>2</v>
      </c>
      <c r="J3933" s="695">
        <f t="shared" si="499"/>
        <v>3</v>
      </c>
      <c r="K3933" s="855">
        <f t="shared" si="498"/>
        <v>1.5</v>
      </c>
    </row>
    <row r="3934" spans="1:11" ht="24.95" customHeight="1">
      <c r="A3934" s="456" t="s">
        <v>6442</v>
      </c>
      <c r="B3934" s="1463" t="s">
        <v>6443</v>
      </c>
      <c r="C3934" s="1374">
        <v>410</v>
      </c>
      <c r="D3934" s="1374">
        <v>210</v>
      </c>
      <c r="E3934" s="1406">
        <f t="shared" si="497"/>
        <v>0.51219512195121952</v>
      </c>
      <c r="F3934" s="1374">
        <v>3</v>
      </c>
      <c r="G3934" s="1374">
        <v>4</v>
      </c>
      <c r="H3934" s="1406"/>
      <c r="I3934" s="1413">
        <f t="shared" si="499"/>
        <v>413</v>
      </c>
      <c r="J3934" s="695">
        <f t="shared" si="499"/>
        <v>214</v>
      </c>
      <c r="K3934" s="855">
        <f t="shared" si="498"/>
        <v>0.51815980629539948</v>
      </c>
    </row>
    <row r="3935" spans="1:11" ht="24.95" customHeight="1">
      <c r="A3935" s="456" t="s">
        <v>6444</v>
      </c>
      <c r="B3935" s="1463" t="s">
        <v>6445</v>
      </c>
      <c r="C3935" s="1374">
        <v>430</v>
      </c>
      <c r="D3935" s="1374">
        <v>238</v>
      </c>
      <c r="E3935" s="1406">
        <f t="shared" si="497"/>
        <v>0.55348837209302326</v>
      </c>
      <c r="F3935" s="1374">
        <v>10</v>
      </c>
      <c r="G3935" s="1374">
        <v>3</v>
      </c>
      <c r="H3935" s="1406"/>
      <c r="I3935" s="1413">
        <f t="shared" si="499"/>
        <v>440</v>
      </c>
      <c r="J3935" s="695">
        <f t="shared" si="499"/>
        <v>241</v>
      </c>
      <c r="K3935" s="855">
        <f t="shared" si="498"/>
        <v>0.54772727272727273</v>
      </c>
    </row>
    <row r="3936" spans="1:11" ht="24.95" customHeight="1">
      <c r="A3936" s="456" t="s">
        <v>6446</v>
      </c>
      <c r="B3936" s="1463" t="s">
        <v>6447</v>
      </c>
      <c r="C3936" s="1374">
        <v>5</v>
      </c>
      <c r="D3936" s="1374"/>
      <c r="E3936" s="1406">
        <f t="shared" si="497"/>
        <v>0</v>
      </c>
      <c r="F3936" s="1374"/>
      <c r="G3936" s="1374"/>
      <c r="H3936" s="1406"/>
      <c r="I3936" s="1413">
        <f t="shared" si="499"/>
        <v>5</v>
      </c>
      <c r="J3936" s="695">
        <f t="shared" si="499"/>
        <v>0</v>
      </c>
      <c r="K3936" s="855">
        <f t="shared" si="498"/>
        <v>0</v>
      </c>
    </row>
    <row r="3937" spans="1:11" ht="24.95" customHeight="1">
      <c r="A3937" s="456"/>
      <c r="B3937" s="1465" t="s">
        <v>2</v>
      </c>
      <c r="C3937" s="1374">
        <f t="shared" ref="C3937:J3937" si="500">SUM(C3840:C3936)</f>
        <v>8780</v>
      </c>
      <c r="D3937" s="1374">
        <f t="shared" si="500"/>
        <v>9532</v>
      </c>
      <c r="E3937" s="1406">
        <f t="shared" si="497"/>
        <v>1.0856492027334852</v>
      </c>
      <c r="F3937" s="1374">
        <f t="shared" si="500"/>
        <v>26792</v>
      </c>
      <c r="G3937" s="1374"/>
      <c r="H3937" s="1406"/>
      <c r="I3937" s="1374">
        <f t="shared" si="500"/>
        <v>35422</v>
      </c>
      <c r="J3937" s="1374">
        <f t="shared" si="500"/>
        <v>19959</v>
      </c>
      <c r="K3937" s="855">
        <f t="shared" si="498"/>
        <v>0.56346338433741738</v>
      </c>
    </row>
    <row r="3938" spans="1:11" s="1144" customFormat="1" ht="24.95" customHeight="1">
      <c r="A3938" s="456"/>
      <c r="B3938" s="1466" t="s">
        <v>6448</v>
      </c>
      <c r="C3938" s="1964"/>
      <c r="D3938" s="1964"/>
      <c r="E3938" s="1964"/>
      <c r="F3938" s="1964"/>
      <c r="G3938" s="1964"/>
      <c r="H3938" s="1964"/>
      <c r="I3938" s="1964"/>
      <c r="J3938" s="1467"/>
      <c r="K3938" s="855"/>
    </row>
    <row r="3939" spans="1:11" ht="24.95" customHeight="1">
      <c r="A3939" s="448" t="s">
        <v>6416</v>
      </c>
      <c r="B3939" s="1457" t="s">
        <v>6417</v>
      </c>
      <c r="C3939" s="1374"/>
      <c r="D3939" s="1374"/>
      <c r="E3939" s="1406"/>
      <c r="F3939" s="1374">
        <v>1</v>
      </c>
      <c r="G3939" s="1374"/>
      <c r="H3939" s="1406">
        <f>+G3939/F3939</f>
        <v>0</v>
      </c>
      <c r="I3939" s="1413">
        <f t="shared" ref="I3939:I3950" si="501">+C3939+F3939</f>
        <v>1</v>
      </c>
      <c r="J3939" s="695">
        <f>+G3939</f>
        <v>0</v>
      </c>
      <c r="K3939" s="855">
        <f>+J3939/I3939</f>
        <v>0</v>
      </c>
    </row>
    <row r="3940" spans="1:11" ht="24.95" customHeight="1">
      <c r="A3940" s="448" t="s">
        <v>6418</v>
      </c>
      <c r="B3940" s="1457" t="s">
        <v>6419</v>
      </c>
      <c r="C3940" s="1374"/>
      <c r="D3940" s="1374"/>
      <c r="E3940" s="1406"/>
      <c r="F3940" s="1458">
        <v>1</v>
      </c>
      <c r="G3940" s="1458"/>
      <c r="H3940" s="1406">
        <f t="shared" ref="H3940:H3952" si="502">+G3940/F3940</f>
        <v>0</v>
      </c>
      <c r="I3940" s="1413">
        <f t="shared" si="501"/>
        <v>1</v>
      </c>
      <c r="J3940" s="695">
        <f t="shared" ref="J3940:J3950" si="503">+G3940</f>
        <v>0</v>
      </c>
      <c r="K3940" s="855">
        <f t="shared" ref="K3940:K3952" si="504">+J3940/I3940</f>
        <v>0</v>
      </c>
    </row>
    <row r="3941" spans="1:11" ht="24.95" customHeight="1">
      <c r="A3941" s="448" t="s">
        <v>6420</v>
      </c>
      <c r="B3941" s="1457" t="s">
        <v>6421</v>
      </c>
      <c r="C3941" s="1374"/>
      <c r="D3941" s="1374"/>
      <c r="E3941" s="1406"/>
      <c r="F3941" s="1458">
        <v>1</v>
      </c>
      <c r="G3941" s="1458"/>
      <c r="H3941" s="1406">
        <f t="shared" si="502"/>
        <v>0</v>
      </c>
      <c r="I3941" s="1413">
        <f t="shared" si="501"/>
        <v>1</v>
      </c>
      <c r="J3941" s="695">
        <f t="shared" si="503"/>
        <v>0</v>
      </c>
      <c r="K3941" s="855">
        <f t="shared" si="504"/>
        <v>0</v>
      </c>
    </row>
    <row r="3942" spans="1:11" ht="24.95" customHeight="1">
      <c r="A3942" s="448" t="s">
        <v>3013</v>
      </c>
      <c r="B3942" s="1457" t="s">
        <v>6433</v>
      </c>
      <c r="C3942" s="1374"/>
      <c r="D3942" s="1374"/>
      <c r="E3942" s="1406"/>
      <c r="F3942" s="1374">
        <v>1</v>
      </c>
      <c r="G3942" s="1374"/>
      <c r="H3942" s="1406">
        <f t="shared" si="502"/>
        <v>0</v>
      </c>
      <c r="I3942" s="1413">
        <f t="shared" si="501"/>
        <v>1</v>
      </c>
      <c r="J3942" s="695">
        <f t="shared" si="503"/>
        <v>0</v>
      </c>
      <c r="K3942" s="855">
        <f t="shared" si="504"/>
        <v>0</v>
      </c>
    </row>
    <row r="3943" spans="1:11" ht="24.95" customHeight="1">
      <c r="A3943" s="456">
        <v>130207</v>
      </c>
      <c r="B3943" s="1461" t="s">
        <v>2390</v>
      </c>
      <c r="C3943" s="1374"/>
      <c r="D3943" s="1374"/>
      <c r="E3943" s="1406"/>
      <c r="F3943" s="1374">
        <v>1</v>
      </c>
      <c r="G3943" s="1374">
        <v>1</v>
      </c>
      <c r="H3943" s="1406">
        <f t="shared" si="502"/>
        <v>1</v>
      </c>
      <c r="I3943" s="1413">
        <f t="shared" si="501"/>
        <v>1</v>
      </c>
      <c r="J3943" s="695">
        <f t="shared" si="503"/>
        <v>1</v>
      </c>
      <c r="K3943" s="855">
        <f t="shared" si="504"/>
        <v>1</v>
      </c>
    </row>
    <row r="3944" spans="1:11" ht="24.95" customHeight="1">
      <c r="A3944" s="456" t="s">
        <v>2792</v>
      </c>
      <c r="B3944" s="1463" t="s">
        <v>2402</v>
      </c>
      <c r="C3944" s="1374"/>
      <c r="D3944" s="1374"/>
      <c r="E3944" s="1406"/>
      <c r="F3944" s="1374">
        <v>5</v>
      </c>
      <c r="G3944" s="1374">
        <v>3</v>
      </c>
      <c r="H3944" s="1406">
        <f t="shared" si="502"/>
        <v>0.6</v>
      </c>
      <c r="I3944" s="1413">
        <f t="shared" si="501"/>
        <v>5</v>
      </c>
      <c r="J3944" s="695">
        <f t="shared" si="503"/>
        <v>3</v>
      </c>
      <c r="K3944" s="855">
        <f t="shared" si="504"/>
        <v>0.6</v>
      </c>
    </row>
    <row r="3945" spans="1:11" ht="24.95" customHeight="1">
      <c r="A3945" s="456" t="s">
        <v>2620</v>
      </c>
      <c r="B3945" s="1463" t="s">
        <v>2621</v>
      </c>
      <c r="C3945" s="1374"/>
      <c r="D3945" s="1374"/>
      <c r="E3945" s="1406"/>
      <c r="F3945" s="1374">
        <v>10</v>
      </c>
      <c r="G3945" s="1374">
        <v>11</v>
      </c>
      <c r="H3945" s="1406">
        <f t="shared" si="502"/>
        <v>1.1000000000000001</v>
      </c>
      <c r="I3945" s="1413">
        <f t="shared" si="501"/>
        <v>10</v>
      </c>
      <c r="J3945" s="695">
        <f t="shared" si="503"/>
        <v>11</v>
      </c>
      <c r="K3945" s="855">
        <f t="shared" si="504"/>
        <v>1.1000000000000001</v>
      </c>
    </row>
    <row r="3946" spans="1:11" ht="24.95" customHeight="1">
      <c r="A3946" s="1235" t="s">
        <v>2629</v>
      </c>
      <c r="B3946" s="1463" t="s">
        <v>2630</v>
      </c>
      <c r="C3946" s="1374"/>
      <c r="D3946" s="1374"/>
      <c r="E3946" s="1406"/>
      <c r="F3946" s="1374"/>
      <c r="G3946" s="1374"/>
      <c r="H3946" s="1406" t="e">
        <f t="shared" si="502"/>
        <v>#DIV/0!</v>
      </c>
      <c r="I3946" s="1413">
        <f t="shared" si="501"/>
        <v>0</v>
      </c>
      <c r="J3946" s="695">
        <f t="shared" si="503"/>
        <v>0</v>
      </c>
      <c r="K3946" s="855" t="e">
        <f t="shared" si="504"/>
        <v>#DIV/0!</v>
      </c>
    </row>
    <row r="3947" spans="1:11" ht="24.95" customHeight="1">
      <c r="A3947" s="456" t="s">
        <v>2631</v>
      </c>
      <c r="B3947" s="1463" t="s">
        <v>2632</v>
      </c>
      <c r="C3947" s="1374"/>
      <c r="D3947" s="1374"/>
      <c r="E3947" s="1406"/>
      <c r="F3947" s="1374"/>
      <c r="G3947" s="1374"/>
      <c r="H3947" s="1406" t="e">
        <f t="shared" si="502"/>
        <v>#DIV/0!</v>
      </c>
      <c r="I3947" s="1413">
        <f t="shared" si="501"/>
        <v>0</v>
      </c>
      <c r="J3947" s="695">
        <f t="shared" si="503"/>
        <v>0</v>
      </c>
      <c r="K3947" s="855" t="e">
        <f t="shared" si="504"/>
        <v>#DIV/0!</v>
      </c>
    </row>
    <row r="3948" spans="1:11" ht="24.95" customHeight="1">
      <c r="A3948" s="456" t="s">
        <v>2178</v>
      </c>
      <c r="B3948" s="1463" t="s">
        <v>2179</v>
      </c>
      <c r="C3948" s="1374"/>
      <c r="D3948" s="1374"/>
      <c r="E3948" s="1406"/>
      <c r="F3948" s="1374">
        <v>1</v>
      </c>
      <c r="G3948" s="1374">
        <v>2</v>
      </c>
      <c r="H3948" s="1406">
        <f t="shared" si="502"/>
        <v>2</v>
      </c>
      <c r="I3948" s="1413">
        <f t="shared" si="501"/>
        <v>1</v>
      </c>
      <c r="J3948" s="695">
        <f t="shared" si="503"/>
        <v>2</v>
      </c>
      <c r="K3948" s="855">
        <f t="shared" si="504"/>
        <v>2</v>
      </c>
    </row>
    <row r="3949" spans="1:11" ht="24.95" customHeight="1">
      <c r="A3949" s="456" t="s">
        <v>2645</v>
      </c>
      <c r="B3949" s="1461" t="s">
        <v>2646</v>
      </c>
      <c r="C3949" s="1374"/>
      <c r="D3949" s="1374"/>
      <c r="E3949" s="1406"/>
      <c r="F3949" s="1374">
        <v>80</v>
      </c>
      <c r="G3949" s="1374">
        <v>34</v>
      </c>
      <c r="H3949" s="1406">
        <f t="shared" si="502"/>
        <v>0.42499999999999999</v>
      </c>
      <c r="I3949" s="1413">
        <f t="shared" si="501"/>
        <v>80</v>
      </c>
      <c r="J3949" s="695">
        <f t="shared" si="503"/>
        <v>34</v>
      </c>
      <c r="K3949" s="855">
        <f t="shared" si="504"/>
        <v>0.42499999999999999</v>
      </c>
    </row>
    <row r="3950" spans="1:11" ht="24.95" customHeight="1">
      <c r="A3950" s="456" t="s">
        <v>2649</v>
      </c>
      <c r="B3950" s="1461" t="s">
        <v>2650</v>
      </c>
      <c r="C3950" s="1374"/>
      <c r="D3950" s="1374"/>
      <c r="E3950" s="1406"/>
      <c r="F3950" s="1374">
        <v>2</v>
      </c>
      <c r="G3950" s="1374"/>
      <c r="H3950" s="1406">
        <f t="shared" si="502"/>
        <v>0</v>
      </c>
      <c r="I3950" s="1413">
        <f t="shared" si="501"/>
        <v>2</v>
      </c>
      <c r="J3950" s="695">
        <f t="shared" si="503"/>
        <v>0</v>
      </c>
      <c r="K3950" s="855">
        <f t="shared" si="504"/>
        <v>0</v>
      </c>
    </row>
    <row r="3951" spans="1:11" ht="24.95" customHeight="1">
      <c r="A3951" s="1210"/>
      <c r="B3951" s="1468" t="s">
        <v>2</v>
      </c>
      <c r="C3951" s="1458">
        <f t="shared" ref="C3951:G3951" si="505">SUM(C3939:C3950)</f>
        <v>0</v>
      </c>
      <c r="D3951" s="1458">
        <f t="shared" si="505"/>
        <v>0</v>
      </c>
      <c r="E3951" s="1459" t="e">
        <f>+D3951/C3951</f>
        <v>#DIV/0!</v>
      </c>
      <c r="F3951" s="1458">
        <f t="shared" si="505"/>
        <v>103</v>
      </c>
      <c r="G3951" s="1458">
        <f t="shared" si="505"/>
        <v>51</v>
      </c>
      <c r="H3951" s="1406">
        <f t="shared" si="502"/>
        <v>0.49514563106796117</v>
      </c>
      <c r="I3951" s="1458">
        <f t="shared" ref="I3951:J3951" si="506">SUM(I3944:I3950)</f>
        <v>98</v>
      </c>
      <c r="J3951" s="1458">
        <f t="shared" si="506"/>
        <v>50</v>
      </c>
      <c r="K3951" s="855">
        <f t="shared" si="504"/>
        <v>0.51020408163265307</v>
      </c>
    </row>
    <row r="3952" spans="1:11" ht="24.95" customHeight="1">
      <c r="A3952" s="1210"/>
      <c r="B3952" s="1468" t="s">
        <v>2671</v>
      </c>
      <c r="C3952" s="1422">
        <f t="shared" ref="C3952:J3952" si="507">+C3937+C3951</f>
        <v>8780</v>
      </c>
      <c r="D3952" s="1422">
        <f t="shared" si="507"/>
        <v>9532</v>
      </c>
      <c r="E3952" s="1459">
        <f>+D3952/C3952</f>
        <v>1.0856492027334852</v>
      </c>
      <c r="F3952" s="1422">
        <f t="shared" si="507"/>
        <v>26895</v>
      </c>
      <c r="G3952" s="1422">
        <f t="shared" si="507"/>
        <v>51</v>
      </c>
      <c r="H3952" s="1406">
        <f t="shared" si="502"/>
        <v>1.8962632459564974E-3</v>
      </c>
      <c r="I3952" s="1422">
        <f t="shared" si="507"/>
        <v>35520</v>
      </c>
      <c r="J3952" s="1422">
        <f t="shared" si="507"/>
        <v>20009</v>
      </c>
      <c r="K3952" s="855">
        <f t="shared" si="504"/>
        <v>0.56331644144144144</v>
      </c>
    </row>
    <row r="3953" spans="1:11" ht="24.95" customHeight="1">
      <c r="A3953" s="1965" t="s">
        <v>7402</v>
      </c>
      <c r="B3953" s="1965"/>
      <c r="C3953" s="1965"/>
      <c r="D3953" s="1965"/>
      <c r="E3953" s="1965"/>
      <c r="F3953" s="1965"/>
      <c r="G3953" s="1965"/>
      <c r="H3953" s="1965"/>
      <c r="I3953" s="1965"/>
      <c r="J3953" s="1965"/>
      <c r="K3953" s="1965"/>
    </row>
    <row r="3954" spans="1:11" s="741" customFormat="1" ht="24.95" customHeight="1">
      <c r="A3954" s="1966" t="s">
        <v>208</v>
      </c>
      <c r="B3954" s="1967"/>
      <c r="C3954" s="1968" t="s">
        <v>1852</v>
      </c>
      <c r="D3954" s="1969"/>
      <c r="E3954" s="1969"/>
      <c r="F3954" s="1969"/>
      <c r="G3954" s="1969"/>
      <c r="H3954" s="1969"/>
      <c r="I3954" s="1969"/>
      <c r="J3954" s="1969"/>
      <c r="K3954" s="1969"/>
    </row>
    <row r="3955" spans="1:11" s="741" customFormat="1" ht="24.95" customHeight="1">
      <c r="A3955" s="1956" t="s">
        <v>209</v>
      </c>
      <c r="B3955" s="1957"/>
      <c r="C3955" s="1958">
        <v>17878735</v>
      </c>
      <c r="D3955" s="1959"/>
      <c r="E3955" s="1959"/>
      <c r="F3955" s="1959"/>
      <c r="G3955" s="1959"/>
      <c r="H3955" s="1959"/>
      <c r="I3955" s="1959"/>
      <c r="J3955" s="1959"/>
      <c r="K3955" s="1959"/>
    </row>
    <row r="3956" spans="1:11" s="741" customFormat="1" ht="24.95" customHeight="1">
      <c r="A3956" s="1956" t="s">
        <v>211</v>
      </c>
      <c r="B3956" s="1957"/>
      <c r="C3956" s="1960" t="s">
        <v>1812</v>
      </c>
      <c r="D3956" s="1961"/>
      <c r="E3956" s="1961"/>
      <c r="F3956" s="1961"/>
      <c r="G3956" s="1961"/>
      <c r="H3956" s="1961"/>
      <c r="I3956" s="1961"/>
      <c r="J3956" s="1961"/>
      <c r="K3956" s="1961"/>
    </row>
    <row r="3957" spans="1:11" s="741" customFormat="1" ht="24.95" customHeight="1">
      <c r="A3957" s="1956" t="s">
        <v>210</v>
      </c>
      <c r="B3957" s="1957"/>
      <c r="C3957" s="1962" t="s">
        <v>331</v>
      </c>
      <c r="D3957" s="1963"/>
      <c r="E3957" s="1963"/>
      <c r="F3957" s="1963"/>
      <c r="G3957" s="1963"/>
      <c r="H3957" s="1963"/>
      <c r="I3957" s="1963"/>
      <c r="J3957" s="1963"/>
      <c r="K3957" s="1963"/>
    </row>
    <row r="3958" spans="1:11" s="741" customFormat="1" ht="24.95" customHeight="1">
      <c r="A3958" s="1952" t="s">
        <v>251</v>
      </c>
      <c r="B3958" s="1953"/>
      <c r="C3958" s="1954" t="s">
        <v>1948</v>
      </c>
      <c r="D3958" s="1946"/>
      <c r="E3958" s="1946"/>
      <c r="F3958" s="1946"/>
      <c r="G3958" s="1946"/>
      <c r="H3958" s="1946"/>
      <c r="I3958" s="1946"/>
      <c r="J3958" s="1946"/>
      <c r="K3958" s="1946"/>
    </row>
    <row r="3959" spans="1:11" ht="24.95" customHeight="1">
      <c r="A3959" s="1955" t="s">
        <v>122</v>
      </c>
      <c r="B3959" s="1955" t="s">
        <v>253</v>
      </c>
      <c r="C3959" s="1935" t="s">
        <v>2038</v>
      </c>
      <c r="D3959" s="1935"/>
      <c r="E3959" s="1935"/>
      <c r="F3959" s="1935" t="s">
        <v>2039</v>
      </c>
      <c r="G3959" s="1935"/>
      <c r="H3959" s="1935"/>
      <c r="I3959" s="1935" t="s">
        <v>90</v>
      </c>
      <c r="J3959" s="1935"/>
      <c r="K3959" s="1935"/>
    </row>
    <row r="3960" spans="1:11" ht="24.95" customHeight="1">
      <c r="A3960" s="1955"/>
      <c r="B3960" s="1955"/>
      <c r="C3960" s="545" t="s">
        <v>368</v>
      </c>
      <c r="D3960" s="547" t="s">
        <v>2040</v>
      </c>
      <c r="E3960" s="546" t="s">
        <v>2041</v>
      </c>
      <c r="F3960" s="545" t="s">
        <v>368</v>
      </c>
      <c r="G3960" s="547" t="s">
        <v>2040</v>
      </c>
      <c r="H3960" s="546" t="s">
        <v>2041</v>
      </c>
      <c r="I3960" s="545" t="s">
        <v>368</v>
      </c>
      <c r="J3960" s="547" t="s">
        <v>2040</v>
      </c>
      <c r="K3960" s="546" t="s">
        <v>2041</v>
      </c>
    </row>
    <row r="3961" spans="1:11" ht="24.95" customHeight="1">
      <c r="A3961" s="1947"/>
      <c r="B3961" s="1947"/>
      <c r="C3961" s="1947"/>
      <c r="D3961" s="1947"/>
      <c r="E3961" s="1947"/>
      <c r="F3961" s="1947"/>
      <c r="G3961" s="1947"/>
      <c r="H3961" s="1947"/>
      <c r="I3961" s="1947"/>
      <c r="J3961" s="1947"/>
      <c r="K3961" s="1947"/>
    </row>
    <row r="3962" spans="1:11" ht="24.95" customHeight="1">
      <c r="A3962" s="456" t="s">
        <v>6449</v>
      </c>
      <c r="B3962" s="452" t="s">
        <v>6450</v>
      </c>
      <c r="C3962" s="1789"/>
      <c r="D3962" s="1789"/>
      <c r="E3962" s="1406" t="e">
        <f>+D3962/C3962</f>
        <v>#DIV/0!</v>
      </c>
      <c r="F3962" s="1789"/>
      <c r="G3962" s="1789"/>
      <c r="H3962" s="1406" t="e">
        <f>+G3962/F3962</f>
        <v>#DIV/0!</v>
      </c>
      <c r="I3962" s="1413">
        <f t="shared" ref="I3962:J3979" si="508">+C3962+F3962</f>
        <v>0</v>
      </c>
      <c r="J3962" s="695">
        <f>+D3962+G3962</f>
        <v>0</v>
      </c>
      <c r="K3962" s="855" t="e">
        <f>+J3962/I3962</f>
        <v>#DIV/0!</v>
      </c>
    </row>
    <row r="3963" spans="1:11" ht="24.95" customHeight="1">
      <c r="A3963" s="456" t="s">
        <v>3833</v>
      </c>
      <c r="B3963" s="452" t="s">
        <v>3834</v>
      </c>
      <c r="C3963" s="1789">
        <v>300</v>
      </c>
      <c r="D3963" s="1789"/>
      <c r="E3963" s="1406">
        <f t="shared" ref="E3963:E4001" si="509">+D3963/C3963</f>
        <v>0</v>
      </c>
      <c r="F3963" s="1789">
        <v>5</v>
      </c>
      <c r="G3963" s="1789"/>
      <c r="H3963" s="1406">
        <f t="shared" ref="H3963:H4001" si="510">+G3963/F3963</f>
        <v>0</v>
      </c>
      <c r="I3963" s="1413">
        <f t="shared" si="508"/>
        <v>305</v>
      </c>
      <c r="J3963" s="695">
        <f t="shared" si="508"/>
        <v>0</v>
      </c>
      <c r="K3963" s="855">
        <f t="shared" ref="K3963:K4001" si="511">+J3963/I3963</f>
        <v>0</v>
      </c>
    </row>
    <row r="3964" spans="1:11" ht="24.95" customHeight="1">
      <c r="A3964" s="456" t="s">
        <v>6451</v>
      </c>
      <c r="B3964" s="1233" t="s">
        <v>4977</v>
      </c>
      <c r="C3964" s="1789"/>
      <c r="D3964" s="1789"/>
      <c r="E3964" s="1406" t="e">
        <f t="shared" si="509"/>
        <v>#DIV/0!</v>
      </c>
      <c r="F3964" s="1789"/>
      <c r="G3964" s="1789"/>
      <c r="H3964" s="1406" t="e">
        <f t="shared" si="510"/>
        <v>#DIV/0!</v>
      </c>
      <c r="I3964" s="1413">
        <f t="shared" si="508"/>
        <v>0</v>
      </c>
      <c r="J3964" s="695">
        <f t="shared" si="508"/>
        <v>0</v>
      </c>
      <c r="K3964" s="855" t="e">
        <f t="shared" si="511"/>
        <v>#DIV/0!</v>
      </c>
    </row>
    <row r="3965" spans="1:11" ht="24.95" customHeight="1">
      <c r="A3965" s="456" t="s">
        <v>2465</v>
      </c>
      <c r="B3965" s="452" t="s">
        <v>2466</v>
      </c>
      <c r="C3965" s="1789"/>
      <c r="D3965" s="1789"/>
      <c r="E3965" s="1406" t="e">
        <f t="shared" si="509"/>
        <v>#DIV/0!</v>
      </c>
      <c r="F3965" s="1789"/>
      <c r="G3965" s="1789"/>
      <c r="H3965" s="1406" t="e">
        <f t="shared" si="510"/>
        <v>#DIV/0!</v>
      </c>
      <c r="I3965" s="1413">
        <f t="shared" si="508"/>
        <v>0</v>
      </c>
      <c r="J3965" s="695">
        <f t="shared" si="508"/>
        <v>0</v>
      </c>
      <c r="K3965" s="855" t="e">
        <f t="shared" si="511"/>
        <v>#DIV/0!</v>
      </c>
    </row>
    <row r="3966" spans="1:11" ht="24.95" customHeight="1">
      <c r="A3966" s="456" t="s">
        <v>6452</v>
      </c>
      <c r="B3966" s="452" t="s">
        <v>6453</v>
      </c>
      <c r="C3966" s="1789">
        <v>3270</v>
      </c>
      <c r="D3966" s="1789">
        <v>1949</v>
      </c>
      <c r="E3966" s="1406">
        <f t="shared" si="509"/>
        <v>0.59602446483180427</v>
      </c>
      <c r="F3966" s="1789"/>
      <c r="G3966" s="1789"/>
      <c r="H3966" s="1406" t="e">
        <f t="shared" si="510"/>
        <v>#DIV/0!</v>
      </c>
      <c r="I3966" s="1413">
        <f t="shared" si="508"/>
        <v>3270</v>
      </c>
      <c r="J3966" s="695">
        <f t="shared" si="508"/>
        <v>1949</v>
      </c>
      <c r="K3966" s="855">
        <f t="shared" si="511"/>
        <v>0.59602446483180427</v>
      </c>
    </row>
    <row r="3967" spans="1:11" ht="24.95" customHeight="1">
      <c r="A3967" s="456" t="s">
        <v>6454</v>
      </c>
      <c r="B3967" s="452" t="s">
        <v>6455</v>
      </c>
      <c r="C3967" s="1789">
        <v>3550</v>
      </c>
      <c r="D3967" s="1789">
        <v>2135</v>
      </c>
      <c r="E3967" s="1406">
        <f t="shared" si="509"/>
        <v>0.60140845070422533</v>
      </c>
      <c r="F3967" s="1789">
        <v>5000</v>
      </c>
      <c r="G3967" s="1789">
        <f>2336+17</f>
        <v>2353</v>
      </c>
      <c r="H3967" s="1406">
        <f t="shared" si="510"/>
        <v>0.47060000000000002</v>
      </c>
      <c r="I3967" s="1413">
        <f t="shared" si="508"/>
        <v>8550</v>
      </c>
      <c r="J3967" s="695">
        <f t="shared" si="508"/>
        <v>4488</v>
      </c>
      <c r="K3967" s="855">
        <f t="shared" si="511"/>
        <v>0.52491228070175444</v>
      </c>
    </row>
    <row r="3968" spans="1:11" ht="24.95" customHeight="1">
      <c r="A3968" s="456" t="s">
        <v>6456</v>
      </c>
      <c r="B3968" s="452" t="s">
        <v>6457</v>
      </c>
      <c r="C3968" s="1789"/>
      <c r="D3968" s="1789"/>
      <c r="E3968" s="1406" t="e">
        <f t="shared" si="509"/>
        <v>#DIV/0!</v>
      </c>
      <c r="F3968" s="1789"/>
      <c r="G3968" s="1789"/>
      <c r="H3968" s="1406" t="e">
        <f t="shared" si="510"/>
        <v>#DIV/0!</v>
      </c>
      <c r="I3968" s="1413">
        <f t="shared" si="508"/>
        <v>0</v>
      </c>
      <c r="J3968" s="695">
        <f t="shared" si="508"/>
        <v>0</v>
      </c>
      <c r="K3968" s="855" t="e">
        <f t="shared" si="511"/>
        <v>#DIV/0!</v>
      </c>
    </row>
    <row r="3969" spans="1:11" ht="24.95" customHeight="1">
      <c r="A3969" s="456" t="s">
        <v>6458</v>
      </c>
      <c r="B3969" s="452" t="s">
        <v>6459</v>
      </c>
      <c r="C3969" s="1789"/>
      <c r="D3969" s="1789"/>
      <c r="E3969" s="1406" t="e">
        <f t="shared" si="509"/>
        <v>#DIV/0!</v>
      </c>
      <c r="F3969" s="1789"/>
      <c r="G3969" s="1789"/>
      <c r="H3969" s="1406" t="e">
        <f t="shared" si="510"/>
        <v>#DIV/0!</v>
      </c>
      <c r="I3969" s="1413">
        <f t="shared" si="508"/>
        <v>0</v>
      </c>
      <c r="J3969" s="695">
        <f t="shared" si="508"/>
        <v>0</v>
      </c>
      <c r="K3969" s="855" t="e">
        <f t="shared" si="511"/>
        <v>#DIV/0!</v>
      </c>
    </row>
    <row r="3970" spans="1:11" ht="24.95" customHeight="1">
      <c r="A3970" s="456" t="s">
        <v>6460</v>
      </c>
      <c r="B3970" s="452" t="s">
        <v>6461</v>
      </c>
      <c r="C3970" s="1789"/>
      <c r="D3970" s="1789"/>
      <c r="E3970" s="1406" t="e">
        <f t="shared" si="509"/>
        <v>#DIV/0!</v>
      </c>
      <c r="F3970" s="1789"/>
      <c r="G3970" s="1789"/>
      <c r="H3970" s="1406" t="e">
        <f t="shared" si="510"/>
        <v>#DIV/0!</v>
      </c>
      <c r="I3970" s="1413">
        <f t="shared" si="508"/>
        <v>0</v>
      </c>
      <c r="J3970" s="695">
        <f t="shared" si="508"/>
        <v>0</v>
      </c>
      <c r="K3970" s="855" t="e">
        <f t="shared" si="511"/>
        <v>#DIV/0!</v>
      </c>
    </row>
    <row r="3971" spans="1:11" ht="24.95" customHeight="1">
      <c r="A3971" s="456" t="s">
        <v>6462</v>
      </c>
      <c r="B3971" s="452" t="s">
        <v>6463</v>
      </c>
      <c r="C3971" s="1789"/>
      <c r="D3971" s="1789"/>
      <c r="E3971" s="1406" t="e">
        <f t="shared" si="509"/>
        <v>#DIV/0!</v>
      </c>
      <c r="F3971" s="1789"/>
      <c r="G3971" s="1789"/>
      <c r="H3971" s="1406" t="e">
        <f t="shared" si="510"/>
        <v>#DIV/0!</v>
      </c>
      <c r="I3971" s="1413">
        <f t="shared" si="508"/>
        <v>0</v>
      </c>
      <c r="J3971" s="695">
        <f t="shared" si="508"/>
        <v>0</v>
      </c>
      <c r="K3971" s="855" t="e">
        <f t="shared" si="511"/>
        <v>#DIV/0!</v>
      </c>
    </row>
    <row r="3972" spans="1:11" ht="24.95" customHeight="1">
      <c r="A3972" s="456" t="s">
        <v>6464</v>
      </c>
      <c r="B3972" s="452" t="s">
        <v>6465</v>
      </c>
      <c r="C3972" s="1789"/>
      <c r="D3972" s="1789"/>
      <c r="E3972" s="1406" t="e">
        <f t="shared" si="509"/>
        <v>#DIV/0!</v>
      </c>
      <c r="F3972" s="1789"/>
      <c r="G3972" s="1789"/>
      <c r="H3972" s="1406" t="e">
        <f t="shared" si="510"/>
        <v>#DIV/0!</v>
      </c>
      <c r="I3972" s="1413">
        <f t="shared" si="508"/>
        <v>0</v>
      </c>
      <c r="J3972" s="695">
        <f t="shared" si="508"/>
        <v>0</v>
      </c>
      <c r="K3972" s="855" t="e">
        <f t="shared" si="511"/>
        <v>#DIV/0!</v>
      </c>
    </row>
    <row r="3973" spans="1:11" ht="24.95" customHeight="1">
      <c r="A3973" s="456" t="s">
        <v>6466</v>
      </c>
      <c r="B3973" s="1469" t="s">
        <v>6467</v>
      </c>
      <c r="C3973" s="1789"/>
      <c r="D3973" s="1789"/>
      <c r="E3973" s="1406" t="e">
        <f t="shared" si="509"/>
        <v>#DIV/0!</v>
      </c>
      <c r="F3973" s="1789"/>
      <c r="G3973" s="1789"/>
      <c r="H3973" s="1406" t="e">
        <f t="shared" si="510"/>
        <v>#DIV/0!</v>
      </c>
      <c r="I3973" s="1413">
        <f t="shared" si="508"/>
        <v>0</v>
      </c>
      <c r="J3973" s="695">
        <f t="shared" si="508"/>
        <v>0</v>
      </c>
      <c r="K3973" s="855" t="e">
        <f t="shared" si="511"/>
        <v>#DIV/0!</v>
      </c>
    </row>
    <row r="3974" spans="1:11" ht="24.95" customHeight="1">
      <c r="A3974" s="456" t="s">
        <v>6468</v>
      </c>
      <c r="B3974" s="452" t="s">
        <v>6469</v>
      </c>
      <c r="C3974" s="1374">
        <v>2680</v>
      </c>
      <c r="D3974" s="1374">
        <v>1272</v>
      </c>
      <c r="E3974" s="1406">
        <f t="shared" si="509"/>
        <v>0.47462686567164181</v>
      </c>
      <c r="F3974" s="1374">
        <v>9600</v>
      </c>
      <c r="G3974" s="1374">
        <f>4374+44</f>
        <v>4418</v>
      </c>
      <c r="H3974" s="1406">
        <f t="shared" si="510"/>
        <v>0.46020833333333333</v>
      </c>
      <c r="I3974" s="1413">
        <f t="shared" si="508"/>
        <v>12280</v>
      </c>
      <c r="J3974" s="695">
        <f t="shared" si="508"/>
        <v>5690</v>
      </c>
      <c r="K3974" s="855">
        <f t="shared" si="511"/>
        <v>0.46335504885993484</v>
      </c>
    </row>
    <row r="3975" spans="1:11" ht="24.95" customHeight="1">
      <c r="A3975" s="456" t="s">
        <v>6446</v>
      </c>
      <c r="B3975" s="452" t="s">
        <v>6447</v>
      </c>
      <c r="C3975" s="1374">
        <v>2690</v>
      </c>
      <c r="D3975" s="1374">
        <v>1273</v>
      </c>
      <c r="E3975" s="1406">
        <f t="shared" si="509"/>
        <v>0.47323420074349443</v>
      </c>
      <c r="F3975" s="1374">
        <v>11350</v>
      </c>
      <c r="G3975" s="1374">
        <f>5102+44</f>
        <v>5146</v>
      </c>
      <c r="H3975" s="1406">
        <f t="shared" si="510"/>
        <v>0.45339207048458152</v>
      </c>
      <c r="I3975" s="1413">
        <f t="shared" si="508"/>
        <v>14040</v>
      </c>
      <c r="J3975" s="695">
        <f t="shared" si="508"/>
        <v>6419</v>
      </c>
      <c r="K3975" s="855">
        <f t="shared" si="511"/>
        <v>0.45719373219373222</v>
      </c>
    </row>
    <row r="3976" spans="1:11" ht="24.95" customHeight="1">
      <c r="A3976" s="456" t="s">
        <v>6470</v>
      </c>
      <c r="B3976" s="452" t="s">
        <v>6471</v>
      </c>
      <c r="C3976" s="1374">
        <v>5</v>
      </c>
      <c r="D3976" s="1374">
        <v>5</v>
      </c>
      <c r="E3976" s="1406">
        <f t="shared" si="509"/>
        <v>1</v>
      </c>
      <c r="F3976" s="1374">
        <v>880</v>
      </c>
      <c r="G3976" s="1374">
        <v>470</v>
      </c>
      <c r="H3976" s="1406">
        <f t="shared" si="510"/>
        <v>0.53409090909090906</v>
      </c>
      <c r="I3976" s="1413">
        <f>+C3976+F3976</f>
        <v>885</v>
      </c>
      <c r="J3976" s="695">
        <f t="shared" si="508"/>
        <v>475</v>
      </c>
      <c r="K3976" s="855">
        <f t="shared" si="511"/>
        <v>0.53672316384180796</v>
      </c>
    </row>
    <row r="3977" spans="1:11" ht="24.95" customHeight="1">
      <c r="A3977" s="456" t="s">
        <v>6472</v>
      </c>
      <c r="B3977" s="452" t="s">
        <v>6473</v>
      </c>
      <c r="C3977" s="1374">
        <v>55</v>
      </c>
      <c r="D3977" s="1374">
        <v>16</v>
      </c>
      <c r="E3977" s="1406">
        <f t="shared" si="509"/>
        <v>0.29090909090909089</v>
      </c>
      <c r="F3977" s="1374">
        <v>7500</v>
      </c>
      <c r="G3977" s="1374">
        <f>3265+18</f>
        <v>3283</v>
      </c>
      <c r="H3977" s="1406">
        <f t="shared" si="510"/>
        <v>0.43773333333333331</v>
      </c>
      <c r="I3977" s="1413">
        <f t="shared" si="508"/>
        <v>7555</v>
      </c>
      <c r="J3977" s="695">
        <f t="shared" si="508"/>
        <v>3299</v>
      </c>
      <c r="K3977" s="855">
        <f t="shared" si="511"/>
        <v>0.43666446062210457</v>
      </c>
    </row>
    <row r="3978" spans="1:11" ht="24.95" customHeight="1">
      <c r="A3978" s="456" t="s">
        <v>6474</v>
      </c>
      <c r="B3978" s="452" t="s">
        <v>6475</v>
      </c>
      <c r="C3978" s="1374"/>
      <c r="D3978" s="1374"/>
      <c r="E3978" s="1406" t="e">
        <f t="shared" si="509"/>
        <v>#DIV/0!</v>
      </c>
      <c r="F3978" s="1374">
        <v>10</v>
      </c>
      <c r="G3978" s="1374"/>
      <c r="H3978" s="1406">
        <f t="shared" si="510"/>
        <v>0</v>
      </c>
      <c r="I3978" s="1413">
        <f t="shared" si="508"/>
        <v>10</v>
      </c>
      <c r="J3978" s="695">
        <f t="shared" si="508"/>
        <v>0</v>
      </c>
      <c r="K3978" s="855">
        <f t="shared" si="511"/>
        <v>0</v>
      </c>
    </row>
    <row r="3979" spans="1:11" ht="24.95" customHeight="1">
      <c r="A3979" s="456" t="s">
        <v>6476</v>
      </c>
      <c r="B3979" s="452" t="s">
        <v>6477</v>
      </c>
      <c r="C3979" s="1374">
        <v>2690</v>
      </c>
      <c r="D3979" s="1374">
        <v>1269</v>
      </c>
      <c r="E3979" s="1406">
        <f t="shared" si="509"/>
        <v>0.47174721189591079</v>
      </c>
      <c r="F3979" s="1374">
        <v>7050</v>
      </c>
      <c r="G3979" s="1374">
        <f>2941+31</f>
        <v>2972</v>
      </c>
      <c r="H3979" s="1406">
        <f t="shared" si="510"/>
        <v>0.42156028368794324</v>
      </c>
      <c r="I3979" s="1413">
        <f t="shared" si="508"/>
        <v>9740</v>
      </c>
      <c r="J3979" s="695">
        <f t="shared" si="508"/>
        <v>4241</v>
      </c>
      <c r="K3979" s="855">
        <f t="shared" si="511"/>
        <v>0.43542094455852154</v>
      </c>
    </row>
    <row r="3980" spans="1:11" ht="24.95" customHeight="1">
      <c r="A3980" s="456" t="s">
        <v>6478</v>
      </c>
      <c r="B3980" s="452" t="s">
        <v>6479</v>
      </c>
      <c r="C3980" s="1374">
        <v>1</v>
      </c>
      <c r="D3980" s="1374"/>
      <c r="E3980" s="1406">
        <f t="shared" si="509"/>
        <v>0</v>
      </c>
      <c r="F3980" s="1374"/>
      <c r="G3980" s="1374"/>
      <c r="H3980" s="1406" t="e">
        <f t="shared" si="510"/>
        <v>#DIV/0!</v>
      </c>
      <c r="I3980" s="1413"/>
      <c r="J3980" s="695">
        <f t="shared" ref="J3980:J4000" si="512">+D3980+G3980</f>
        <v>0</v>
      </c>
      <c r="K3980" s="855" t="e">
        <f t="shared" si="511"/>
        <v>#DIV/0!</v>
      </c>
    </row>
    <row r="3981" spans="1:11" ht="24.95" customHeight="1">
      <c r="A3981" s="456" t="s">
        <v>6480</v>
      </c>
      <c r="B3981" s="452" t="s">
        <v>6481</v>
      </c>
      <c r="C3981" s="1374"/>
      <c r="D3981" s="1374"/>
      <c r="E3981" s="1406" t="e">
        <f t="shared" si="509"/>
        <v>#DIV/0!</v>
      </c>
      <c r="F3981" s="1374"/>
      <c r="G3981" s="1374"/>
      <c r="H3981" s="1406" t="e">
        <f t="shared" si="510"/>
        <v>#DIV/0!</v>
      </c>
      <c r="I3981" s="1413"/>
      <c r="J3981" s="695">
        <f t="shared" si="512"/>
        <v>0</v>
      </c>
      <c r="K3981" s="855" t="e">
        <f t="shared" si="511"/>
        <v>#DIV/0!</v>
      </c>
    </row>
    <row r="3982" spans="1:11" ht="24.95" customHeight="1">
      <c r="A3982" s="456" t="s">
        <v>6482</v>
      </c>
      <c r="B3982" s="452" t="s">
        <v>6481</v>
      </c>
      <c r="C3982" s="1374">
        <v>1</v>
      </c>
      <c r="D3982" s="1374"/>
      <c r="E3982" s="1406">
        <f t="shared" si="509"/>
        <v>0</v>
      </c>
      <c r="F3982" s="1374"/>
      <c r="G3982" s="1374"/>
      <c r="H3982" s="1406" t="e">
        <f t="shared" si="510"/>
        <v>#DIV/0!</v>
      </c>
      <c r="I3982" s="1413"/>
      <c r="J3982" s="695">
        <f t="shared" si="512"/>
        <v>0</v>
      </c>
      <c r="K3982" s="855" t="e">
        <f t="shared" si="511"/>
        <v>#DIV/0!</v>
      </c>
    </row>
    <row r="3983" spans="1:11" ht="24.95" customHeight="1">
      <c r="A3983" s="456" t="s">
        <v>6483</v>
      </c>
      <c r="B3983" s="452" t="s">
        <v>6484</v>
      </c>
      <c r="C3983" s="1374"/>
      <c r="D3983" s="1374"/>
      <c r="E3983" s="1406" t="e">
        <f t="shared" si="509"/>
        <v>#DIV/0!</v>
      </c>
      <c r="F3983" s="1374"/>
      <c r="G3983" s="1374"/>
      <c r="H3983" s="1406" t="e">
        <f t="shared" si="510"/>
        <v>#DIV/0!</v>
      </c>
      <c r="I3983" s="1413">
        <f t="shared" ref="I3983:I4000" si="513">+C3983+F3983</f>
        <v>0</v>
      </c>
      <c r="J3983" s="695">
        <f t="shared" si="512"/>
        <v>0</v>
      </c>
      <c r="K3983" s="855" t="e">
        <f t="shared" si="511"/>
        <v>#DIV/0!</v>
      </c>
    </row>
    <row r="3984" spans="1:11" ht="24.95" customHeight="1">
      <c r="A3984" s="1325" t="s">
        <v>6485</v>
      </c>
      <c r="B3984" s="1220" t="s">
        <v>6486</v>
      </c>
      <c r="C3984" s="1374">
        <v>430</v>
      </c>
      <c r="D3984" s="1374">
        <v>202</v>
      </c>
      <c r="E3984" s="1406">
        <f t="shared" si="509"/>
        <v>0.4697674418604651</v>
      </c>
      <c r="F3984" s="1374">
        <v>390</v>
      </c>
      <c r="G3984" s="1374">
        <v>212</v>
      </c>
      <c r="H3984" s="1406">
        <f t="shared" si="510"/>
        <v>0.54358974358974355</v>
      </c>
      <c r="I3984" s="1413">
        <f t="shared" si="513"/>
        <v>820</v>
      </c>
      <c r="J3984" s="695">
        <f t="shared" si="512"/>
        <v>414</v>
      </c>
      <c r="K3984" s="855">
        <f t="shared" si="511"/>
        <v>0.50487804878048781</v>
      </c>
    </row>
    <row r="3985" spans="1:11" ht="24.95" customHeight="1">
      <c r="A3985" s="456" t="s">
        <v>6487</v>
      </c>
      <c r="B3985" s="452" t="s">
        <v>6488</v>
      </c>
      <c r="C3985" s="1374">
        <v>2680</v>
      </c>
      <c r="D3985" s="1374">
        <v>1272</v>
      </c>
      <c r="E3985" s="1406">
        <f t="shared" si="509"/>
        <v>0.47462686567164181</v>
      </c>
      <c r="F3985" s="1374">
        <v>9900</v>
      </c>
      <c r="G3985" s="1374">
        <v>4611</v>
      </c>
      <c r="H3985" s="1406">
        <f t="shared" si="510"/>
        <v>0.46575757575757576</v>
      </c>
      <c r="I3985" s="1413">
        <f t="shared" si="513"/>
        <v>12580</v>
      </c>
      <c r="J3985" s="695">
        <f t="shared" si="512"/>
        <v>5883</v>
      </c>
      <c r="K3985" s="855">
        <f t="shared" si="511"/>
        <v>0.46764705882352942</v>
      </c>
    </row>
    <row r="3986" spans="1:11" ht="24.95" customHeight="1">
      <c r="A3986" s="456" t="s">
        <v>6489</v>
      </c>
      <c r="B3986" s="452" t="s">
        <v>6490</v>
      </c>
      <c r="C3986" s="1374">
        <v>415</v>
      </c>
      <c r="D3986" s="1374">
        <v>193</v>
      </c>
      <c r="E3986" s="1406">
        <f t="shared" si="509"/>
        <v>0.4650602409638554</v>
      </c>
      <c r="F3986" s="1374">
        <v>1000</v>
      </c>
      <c r="G3986" s="1374">
        <v>437</v>
      </c>
      <c r="H3986" s="1406">
        <f t="shared" si="510"/>
        <v>0.437</v>
      </c>
      <c r="I3986" s="1413">
        <f t="shared" si="513"/>
        <v>1415</v>
      </c>
      <c r="J3986" s="695">
        <f t="shared" si="512"/>
        <v>630</v>
      </c>
      <c r="K3986" s="855">
        <f t="shared" si="511"/>
        <v>0.44522968197879859</v>
      </c>
    </row>
    <row r="3987" spans="1:11" ht="24.95" customHeight="1">
      <c r="A3987" s="456" t="s">
        <v>6491</v>
      </c>
      <c r="B3987" s="452" t="s">
        <v>6492</v>
      </c>
      <c r="C3987" s="1374">
        <v>645</v>
      </c>
      <c r="D3987" s="1374">
        <v>213</v>
      </c>
      <c r="E3987" s="1406">
        <f t="shared" si="509"/>
        <v>0.33023255813953489</v>
      </c>
      <c r="F3987" s="1374">
        <v>9500</v>
      </c>
      <c r="G3987" s="1470">
        <f>3942+25</f>
        <v>3967</v>
      </c>
      <c r="H3987" s="1406">
        <f t="shared" si="510"/>
        <v>0.41757894736842105</v>
      </c>
      <c r="I3987" s="1413">
        <f t="shared" si="513"/>
        <v>10145</v>
      </c>
      <c r="J3987" s="695">
        <f t="shared" si="512"/>
        <v>4180</v>
      </c>
      <c r="K3987" s="855">
        <f t="shared" si="511"/>
        <v>0.41202562838836865</v>
      </c>
    </row>
    <row r="3988" spans="1:11" ht="24.95" customHeight="1">
      <c r="A3988" s="456" t="s">
        <v>6493</v>
      </c>
      <c r="B3988" s="452" t="s">
        <v>6494</v>
      </c>
      <c r="C3988" s="1374">
        <v>115</v>
      </c>
      <c r="D3988" s="1374">
        <v>1</v>
      </c>
      <c r="E3988" s="1406">
        <f t="shared" si="509"/>
        <v>8.6956521739130436E-3</v>
      </c>
      <c r="F3988" s="1374">
        <v>400</v>
      </c>
      <c r="G3988" s="1374">
        <v>104</v>
      </c>
      <c r="H3988" s="1406">
        <f t="shared" si="510"/>
        <v>0.26</v>
      </c>
      <c r="I3988" s="1413">
        <f t="shared" si="513"/>
        <v>515</v>
      </c>
      <c r="J3988" s="695">
        <f t="shared" si="512"/>
        <v>105</v>
      </c>
      <c r="K3988" s="855">
        <f t="shared" si="511"/>
        <v>0.20388349514563106</v>
      </c>
    </row>
    <row r="3989" spans="1:11" ht="24.95" customHeight="1">
      <c r="A3989" s="456" t="s">
        <v>6495</v>
      </c>
      <c r="B3989" s="452" t="s">
        <v>6496</v>
      </c>
      <c r="C3989" s="1374">
        <v>5</v>
      </c>
      <c r="D3989" s="1374"/>
      <c r="E3989" s="1406">
        <f t="shared" si="509"/>
        <v>0</v>
      </c>
      <c r="F3989" s="1374">
        <v>20</v>
      </c>
      <c r="G3989" s="1374"/>
      <c r="H3989" s="1406">
        <f t="shared" si="510"/>
        <v>0</v>
      </c>
      <c r="I3989" s="1413">
        <f t="shared" si="513"/>
        <v>25</v>
      </c>
      <c r="J3989" s="695">
        <f t="shared" si="512"/>
        <v>0</v>
      </c>
      <c r="K3989" s="855">
        <f t="shared" si="511"/>
        <v>0</v>
      </c>
    </row>
    <row r="3990" spans="1:11" ht="24.95" customHeight="1">
      <c r="A3990" s="456" t="s">
        <v>6497</v>
      </c>
      <c r="B3990" s="452" t="s">
        <v>6498</v>
      </c>
      <c r="C3990" s="1374">
        <v>105</v>
      </c>
      <c r="D3990" s="1374">
        <v>44</v>
      </c>
      <c r="E3990" s="1406">
        <f t="shared" si="509"/>
        <v>0.41904761904761906</v>
      </c>
      <c r="F3990" s="1374"/>
      <c r="G3990" s="1374"/>
      <c r="H3990" s="1406" t="e">
        <f t="shared" si="510"/>
        <v>#DIV/0!</v>
      </c>
      <c r="I3990" s="1413">
        <f t="shared" si="513"/>
        <v>105</v>
      </c>
      <c r="J3990" s="695">
        <f t="shared" si="512"/>
        <v>44</v>
      </c>
      <c r="K3990" s="855">
        <f t="shared" si="511"/>
        <v>0.41904761904761906</v>
      </c>
    </row>
    <row r="3991" spans="1:11" ht="24.95" customHeight="1">
      <c r="A3991" s="456" t="s">
        <v>6499</v>
      </c>
      <c r="B3991" s="1469" t="s">
        <v>6500</v>
      </c>
      <c r="C3991" s="1374">
        <v>105</v>
      </c>
      <c r="D3991" s="1374">
        <v>45</v>
      </c>
      <c r="E3991" s="1406">
        <f t="shared" si="509"/>
        <v>0.42857142857142855</v>
      </c>
      <c r="F3991" s="1374"/>
      <c r="G3991" s="1374"/>
      <c r="H3991" s="1406" t="e">
        <f t="shared" si="510"/>
        <v>#DIV/0!</v>
      </c>
      <c r="I3991" s="1413">
        <f t="shared" si="513"/>
        <v>105</v>
      </c>
      <c r="J3991" s="695">
        <f t="shared" si="512"/>
        <v>45</v>
      </c>
      <c r="K3991" s="855">
        <f t="shared" si="511"/>
        <v>0.42857142857142855</v>
      </c>
    </row>
    <row r="3992" spans="1:11" ht="24.95" customHeight="1">
      <c r="A3992" s="456" t="s">
        <v>6501</v>
      </c>
      <c r="B3992" s="1469" t="s">
        <v>6502</v>
      </c>
      <c r="C3992" s="1374"/>
      <c r="D3992" s="1374"/>
      <c r="E3992" s="1406" t="e">
        <f t="shared" si="509"/>
        <v>#DIV/0!</v>
      </c>
      <c r="F3992" s="1374"/>
      <c r="G3992" s="1374"/>
      <c r="H3992" s="1406" t="e">
        <f t="shared" si="510"/>
        <v>#DIV/0!</v>
      </c>
      <c r="I3992" s="1413">
        <f t="shared" si="513"/>
        <v>0</v>
      </c>
      <c r="J3992" s="695">
        <f t="shared" si="512"/>
        <v>0</v>
      </c>
      <c r="K3992" s="855" t="e">
        <f t="shared" si="511"/>
        <v>#DIV/0!</v>
      </c>
    </row>
    <row r="3993" spans="1:11" ht="24.95" customHeight="1">
      <c r="A3993" s="456" t="s">
        <v>6503</v>
      </c>
      <c r="B3993" s="1469" t="s">
        <v>6504</v>
      </c>
      <c r="C3993" s="1374">
        <v>105</v>
      </c>
      <c r="D3993" s="1374">
        <v>45</v>
      </c>
      <c r="E3993" s="1406">
        <f t="shared" si="509"/>
        <v>0.42857142857142855</v>
      </c>
      <c r="F3993" s="1374"/>
      <c r="G3993" s="1374"/>
      <c r="H3993" s="1406" t="e">
        <f t="shared" si="510"/>
        <v>#DIV/0!</v>
      </c>
      <c r="I3993" s="1413">
        <f t="shared" si="513"/>
        <v>105</v>
      </c>
      <c r="J3993" s="695">
        <f t="shared" si="512"/>
        <v>45</v>
      </c>
      <c r="K3993" s="855">
        <f t="shared" si="511"/>
        <v>0.42857142857142855</v>
      </c>
    </row>
    <row r="3994" spans="1:11" ht="24.95" customHeight="1">
      <c r="A3994" s="456" t="s">
        <v>6505</v>
      </c>
      <c r="B3994" s="452" t="s">
        <v>6506</v>
      </c>
      <c r="C3994" s="1374">
        <v>105</v>
      </c>
      <c r="D3994" s="1374">
        <v>45</v>
      </c>
      <c r="E3994" s="1406">
        <f t="shared" si="509"/>
        <v>0.42857142857142855</v>
      </c>
      <c r="F3994" s="1374"/>
      <c r="G3994" s="1374"/>
      <c r="H3994" s="1406" t="e">
        <f t="shared" si="510"/>
        <v>#DIV/0!</v>
      </c>
      <c r="I3994" s="1413">
        <f t="shared" si="513"/>
        <v>105</v>
      </c>
      <c r="J3994" s="695">
        <f t="shared" si="512"/>
        <v>45</v>
      </c>
      <c r="K3994" s="855">
        <f t="shared" si="511"/>
        <v>0.42857142857142855</v>
      </c>
    </row>
    <row r="3995" spans="1:11" ht="24.95" customHeight="1">
      <c r="A3995" s="456" t="s">
        <v>6507</v>
      </c>
      <c r="B3995" s="452" t="s">
        <v>6508</v>
      </c>
      <c r="C3995" s="1374"/>
      <c r="D3995" s="1374"/>
      <c r="E3995" s="1406" t="e">
        <f t="shared" si="509"/>
        <v>#DIV/0!</v>
      </c>
      <c r="F3995" s="1374"/>
      <c r="G3995" s="1374"/>
      <c r="H3995" s="1406" t="e">
        <f t="shared" si="510"/>
        <v>#DIV/0!</v>
      </c>
      <c r="I3995" s="1413">
        <f t="shared" si="513"/>
        <v>0</v>
      </c>
      <c r="J3995" s="695">
        <f t="shared" si="512"/>
        <v>0</v>
      </c>
      <c r="K3995" s="855" t="e">
        <f t="shared" si="511"/>
        <v>#DIV/0!</v>
      </c>
    </row>
    <row r="3996" spans="1:11" ht="24.95" customHeight="1">
      <c r="A3996" s="456" t="s">
        <v>6509</v>
      </c>
      <c r="B3996" s="452" t="s">
        <v>6510</v>
      </c>
      <c r="C3996" s="1374"/>
      <c r="D3996" s="1374"/>
      <c r="E3996" s="1406" t="e">
        <f t="shared" si="509"/>
        <v>#DIV/0!</v>
      </c>
      <c r="F3996" s="1374"/>
      <c r="G3996" s="1374"/>
      <c r="H3996" s="1406" t="e">
        <f t="shared" si="510"/>
        <v>#DIV/0!</v>
      </c>
      <c r="I3996" s="1413">
        <f t="shared" si="513"/>
        <v>0</v>
      </c>
      <c r="J3996" s="695">
        <f t="shared" si="512"/>
        <v>0</v>
      </c>
      <c r="K3996" s="855" t="e">
        <f t="shared" si="511"/>
        <v>#DIV/0!</v>
      </c>
    </row>
    <row r="3997" spans="1:11" ht="24.95" customHeight="1">
      <c r="A3997" s="456" t="s">
        <v>6511</v>
      </c>
      <c r="B3997" s="452" t="s">
        <v>6512</v>
      </c>
      <c r="C3997" s="1374">
        <v>1</v>
      </c>
      <c r="D3997" s="1374"/>
      <c r="E3997" s="1406">
        <f t="shared" si="509"/>
        <v>0</v>
      </c>
      <c r="F3997" s="1374">
        <v>400</v>
      </c>
      <c r="G3997" s="1374"/>
      <c r="H3997" s="1406">
        <f t="shared" si="510"/>
        <v>0</v>
      </c>
      <c r="I3997" s="1413">
        <f t="shared" si="513"/>
        <v>401</v>
      </c>
      <c r="J3997" s="695">
        <f t="shared" si="512"/>
        <v>0</v>
      </c>
      <c r="K3997" s="855">
        <f t="shared" si="511"/>
        <v>0</v>
      </c>
    </row>
    <row r="3998" spans="1:11" ht="24.95" customHeight="1">
      <c r="A3998" s="456" t="s">
        <v>6513</v>
      </c>
      <c r="B3998" s="452" t="s">
        <v>6514</v>
      </c>
      <c r="C3998" s="1374">
        <v>7</v>
      </c>
      <c r="D3998" s="1374">
        <v>4</v>
      </c>
      <c r="E3998" s="1406">
        <f t="shared" si="509"/>
        <v>0.5714285714285714</v>
      </c>
      <c r="F3998" s="1374">
        <v>15</v>
      </c>
      <c r="G3998" s="1374">
        <v>4</v>
      </c>
      <c r="H3998" s="1406">
        <f t="shared" si="510"/>
        <v>0.26666666666666666</v>
      </c>
      <c r="I3998" s="1413">
        <f t="shared" si="513"/>
        <v>22</v>
      </c>
      <c r="J3998" s="695">
        <f t="shared" si="512"/>
        <v>8</v>
      </c>
      <c r="K3998" s="855">
        <f t="shared" si="511"/>
        <v>0.36363636363636365</v>
      </c>
    </row>
    <row r="3999" spans="1:11" ht="24.95" customHeight="1">
      <c r="A3999" s="456" t="s">
        <v>6515</v>
      </c>
      <c r="B3999" s="452" t="s">
        <v>6516</v>
      </c>
      <c r="C3999" s="1374">
        <v>2170</v>
      </c>
      <c r="D3999" s="1374">
        <v>941</v>
      </c>
      <c r="E3999" s="1406">
        <f t="shared" si="509"/>
        <v>0.43364055299539173</v>
      </c>
      <c r="F3999" s="1374">
        <v>600</v>
      </c>
      <c r="G3999" s="1374">
        <v>23</v>
      </c>
      <c r="H3999" s="1406">
        <f t="shared" si="510"/>
        <v>3.833333333333333E-2</v>
      </c>
      <c r="I3999" s="1413">
        <f t="shared" si="513"/>
        <v>2770</v>
      </c>
      <c r="J3999" s="695">
        <f t="shared" si="512"/>
        <v>964</v>
      </c>
      <c r="K3999" s="855">
        <f t="shared" si="511"/>
        <v>0.348014440433213</v>
      </c>
    </row>
    <row r="4000" spans="1:11" ht="24.95" customHeight="1">
      <c r="A4000" s="456" t="s">
        <v>6517</v>
      </c>
      <c r="B4000" s="452" t="s">
        <v>6518</v>
      </c>
      <c r="C4000" s="1374">
        <v>1550</v>
      </c>
      <c r="D4000" s="1374">
        <v>940</v>
      </c>
      <c r="E4000" s="1406">
        <f t="shared" si="509"/>
        <v>0.6064516129032258</v>
      </c>
      <c r="F4000" s="1374">
        <v>160</v>
      </c>
      <c r="G4000" s="1374">
        <v>265</v>
      </c>
      <c r="H4000" s="1406">
        <f t="shared" si="510"/>
        <v>1.65625</v>
      </c>
      <c r="I4000" s="1413">
        <f t="shared" si="513"/>
        <v>1710</v>
      </c>
      <c r="J4000" s="695">
        <f t="shared" si="512"/>
        <v>1205</v>
      </c>
      <c r="K4000" s="855">
        <f t="shared" si="511"/>
        <v>0.70467836257309946</v>
      </c>
    </row>
    <row r="4001" spans="1:11" ht="24.95" customHeight="1">
      <c r="A4001" s="1210"/>
      <c r="B4001" s="1331" t="s">
        <v>2</v>
      </c>
      <c r="C4001" s="1471">
        <f t="shared" ref="C4001:J4001" si="514">SUM(C3962:C4000)</f>
        <v>23680</v>
      </c>
      <c r="D4001" s="1471">
        <f t="shared" si="514"/>
        <v>11864</v>
      </c>
      <c r="E4001" s="1406">
        <f t="shared" si="509"/>
        <v>0.50101351351351353</v>
      </c>
      <c r="F4001" s="1471">
        <f t="shared" si="514"/>
        <v>63780</v>
      </c>
      <c r="G4001" s="1471">
        <f t="shared" si="514"/>
        <v>28265</v>
      </c>
      <c r="H4001" s="1406">
        <f t="shared" si="510"/>
        <v>0.44316400125431171</v>
      </c>
      <c r="I4001" s="1471">
        <f t="shared" si="514"/>
        <v>87458</v>
      </c>
      <c r="J4001" s="1471">
        <f t="shared" si="514"/>
        <v>40129</v>
      </c>
      <c r="K4001" s="855">
        <f t="shared" si="511"/>
        <v>0.45883738480184777</v>
      </c>
    </row>
    <row r="4002" spans="1:11" ht="24.95" customHeight="1">
      <c r="A4002" s="1948" t="s">
        <v>208</v>
      </c>
      <c r="B4002" s="1949"/>
      <c r="C4002" s="1938" t="s">
        <v>1852</v>
      </c>
      <c r="D4002" s="1939"/>
      <c r="E4002" s="1939"/>
      <c r="F4002" s="1939"/>
      <c r="G4002" s="1939"/>
      <c r="H4002" s="1939"/>
      <c r="I4002" s="1939"/>
      <c r="J4002" s="1939"/>
      <c r="K4002" s="1939"/>
    </row>
    <row r="4003" spans="1:11" ht="24.95" customHeight="1">
      <c r="A4003" s="1936" t="s">
        <v>209</v>
      </c>
      <c r="B4003" s="1937"/>
      <c r="C4003" s="1950">
        <v>17878735</v>
      </c>
      <c r="D4003" s="1951"/>
      <c r="E4003" s="1951"/>
      <c r="F4003" s="1951"/>
      <c r="G4003" s="1951"/>
      <c r="H4003" s="1951"/>
      <c r="I4003" s="1951"/>
      <c r="J4003" s="1951"/>
      <c r="K4003" s="1951"/>
    </row>
    <row r="4004" spans="1:11" ht="24.95" customHeight="1">
      <c r="A4004" s="1936" t="s">
        <v>211</v>
      </c>
      <c r="B4004" s="1937"/>
      <c r="C4004" s="1938" t="s">
        <v>1812</v>
      </c>
      <c r="D4004" s="1939"/>
      <c r="E4004" s="1939"/>
      <c r="F4004" s="1939"/>
      <c r="G4004" s="1939"/>
      <c r="H4004" s="1939"/>
      <c r="I4004" s="1939"/>
      <c r="J4004" s="1939"/>
      <c r="K4004" s="1939"/>
    </row>
    <row r="4005" spans="1:11" ht="24.95" customHeight="1">
      <c r="A4005" s="1940" t="s">
        <v>210</v>
      </c>
      <c r="B4005" s="1941"/>
      <c r="C4005" s="1942" t="s">
        <v>331</v>
      </c>
      <c r="D4005" s="1943"/>
      <c r="E4005" s="1943"/>
      <c r="F4005" s="1943"/>
      <c r="G4005" s="1943"/>
      <c r="H4005" s="1943"/>
      <c r="I4005" s="1943"/>
      <c r="J4005" s="1943"/>
      <c r="K4005" s="1943"/>
    </row>
    <row r="4006" spans="1:11" ht="24.95" customHeight="1">
      <c r="A4006" s="1944" t="s">
        <v>251</v>
      </c>
      <c r="B4006" s="1944"/>
      <c r="C4006" s="1945" t="s">
        <v>1935</v>
      </c>
      <c r="D4006" s="1946"/>
      <c r="E4006" s="1946"/>
      <c r="F4006" s="1946"/>
      <c r="G4006" s="1946"/>
      <c r="H4006" s="1946"/>
      <c r="I4006" s="1946"/>
      <c r="J4006" s="1946"/>
      <c r="K4006" s="1946"/>
    </row>
    <row r="4007" spans="1:11" ht="24.95" customHeight="1">
      <c r="A4007" s="1933" t="s">
        <v>122</v>
      </c>
      <c r="B4007" s="1933" t="s">
        <v>253</v>
      </c>
      <c r="C4007" s="1935" t="s">
        <v>2038</v>
      </c>
      <c r="D4007" s="1935"/>
      <c r="E4007" s="1935"/>
      <c r="F4007" s="1935" t="s">
        <v>2039</v>
      </c>
      <c r="G4007" s="1935"/>
      <c r="H4007" s="1935"/>
      <c r="I4007" s="1935" t="s">
        <v>90</v>
      </c>
      <c r="J4007" s="1935"/>
      <c r="K4007" s="1935"/>
    </row>
    <row r="4008" spans="1:11" ht="24.95" customHeight="1">
      <c r="A4008" s="1934"/>
      <c r="B4008" s="1934"/>
      <c r="C4008" s="545" t="s">
        <v>368</v>
      </c>
      <c r="D4008" s="547" t="s">
        <v>2040</v>
      </c>
      <c r="E4008" s="546" t="s">
        <v>2041</v>
      </c>
      <c r="F4008" s="545" t="s">
        <v>368</v>
      </c>
      <c r="G4008" s="547" t="s">
        <v>2040</v>
      </c>
      <c r="H4008" s="546" t="s">
        <v>2041</v>
      </c>
      <c r="I4008" s="545" t="s">
        <v>368</v>
      </c>
      <c r="J4008" s="547" t="s">
        <v>2040</v>
      </c>
      <c r="K4008" s="546" t="s">
        <v>2041</v>
      </c>
    </row>
    <row r="4009" spans="1:11" ht="24.95" customHeight="1">
      <c r="A4009" s="1927" t="s">
        <v>2372</v>
      </c>
      <c r="B4009" s="1928"/>
      <c r="C4009" s="1928"/>
      <c r="D4009" s="1928"/>
      <c r="E4009" s="1928"/>
      <c r="F4009" s="1928"/>
      <c r="G4009" s="1928"/>
      <c r="H4009" s="1928"/>
      <c r="I4009" s="1928"/>
      <c r="J4009" s="1928"/>
      <c r="K4009" s="1928"/>
    </row>
    <row r="4010" spans="1:11" ht="24.95" customHeight="1">
      <c r="A4010" s="456" t="s">
        <v>2387</v>
      </c>
      <c r="B4010" s="1387" t="s">
        <v>2388</v>
      </c>
      <c r="C4010" s="1472">
        <v>320</v>
      </c>
      <c r="D4010" s="1472">
        <v>201</v>
      </c>
      <c r="E4010" s="1473">
        <f>+D4010/C4010</f>
        <v>0.62812500000000004</v>
      </c>
      <c r="F4010" s="1472"/>
      <c r="G4010" s="1472"/>
      <c r="H4010" s="1473"/>
      <c r="I4010" s="1472">
        <f t="shared" ref="I4010:I4023" si="515">+C4010+F4010</f>
        <v>320</v>
      </c>
      <c r="J4010" s="695">
        <f>+D4010</f>
        <v>201</v>
      </c>
      <c r="K4010" s="650">
        <f>+J4010/I4010</f>
        <v>0.62812500000000004</v>
      </c>
    </row>
    <row r="4011" spans="1:11" ht="24.95" customHeight="1">
      <c r="A4011" s="1264" t="s">
        <v>2389</v>
      </c>
      <c r="B4011" s="1373" t="s">
        <v>2390</v>
      </c>
      <c r="C4011" s="1472">
        <v>20</v>
      </c>
      <c r="D4011" s="1472">
        <v>12</v>
      </c>
      <c r="E4011" s="1473">
        <f t="shared" ref="E4011:E4024" si="516">+D4011/C4011</f>
        <v>0.6</v>
      </c>
      <c r="F4011" s="1472"/>
      <c r="G4011" s="1472"/>
      <c r="H4011" s="1473"/>
      <c r="I4011" s="1472">
        <f t="shared" si="515"/>
        <v>20</v>
      </c>
      <c r="J4011" s="695">
        <f t="shared" ref="J4011:J4023" si="517">+D4011</f>
        <v>12</v>
      </c>
      <c r="K4011" s="650">
        <f t="shared" ref="K4011:K4024" si="518">+J4011/I4011</f>
        <v>0.6</v>
      </c>
    </row>
    <row r="4012" spans="1:11" ht="24.95" customHeight="1">
      <c r="A4012" s="1264" t="s">
        <v>202</v>
      </c>
      <c r="B4012" s="1373" t="s">
        <v>6519</v>
      </c>
      <c r="C4012" s="1472">
        <v>40</v>
      </c>
      <c r="D4012" s="1472">
        <v>38</v>
      </c>
      <c r="E4012" s="1473">
        <f t="shared" si="516"/>
        <v>0.95</v>
      </c>
      <c r="F4012" s="1472"/>
      <c r="G4012" s="1472"/>
      <c r="H4012" s="1473"/>
      <c r="I4012" s="1472">
        <f t="shared" si="515"/>
        <v>40</v>
      </c>
      <c r="J4012" s="695">
        <f t="shared" si="517"/>
        <v>38</v>
      </c>
      <c r="K4012" s="650">
        <f t="shared" si="518"/>
        <v>0.95</v>
      </c>
    </row>
    <row r="4013" spans="1:11" ht="24.95" customHeight="1">
      <c r="A4013" s="1264" t="s">
        <v>6520</v>
      </c>
      <c r="B4013" s="1373" t="s">
        <v>6521</v>
      </c>
      <c r="C4013" s="1472">
        <v>1</v>
      </c>
      <c r="D4013" s="1472">
        <v>1</v>
      </c>
      <c r="E4013" s="1473">
        <f t="shared" si="516"/>
        <v>1</v>
      </c>
      <c r="F4013" s="1472"/>
      <c r="G4013" s="1472"/>
      <c r="H4013" s="1473"/>
      <c r="I4013" s="1472">
        <f t="shared" si="515"/>
        <v>1</v>
      </c>
      <c r="J4013" s="695">
        <f t="shared" si="517"/>
        <v>1</v>
      </c>
      <c r="K4013" s="650">
        <f t="shared" si="518"/>
        <v>1</v>
      </c>
    </row>
    <row r="4014" spans="1:11" ht="24.95" customHeight="1">
      <c r="A4014" s="456" t="s">
        <v>5307</v>
      </c>
      <c r="B4014" s="1387" t="s">
        <v>5510</v>
      </c>
      <c r="C4014" s="1472">
        <v>25</v>
      </c>
      <c r="D4014" s="1472">
        <v>10</v>
      </c>
      <c r="E4014" s="1473">
        <f t="shared" si="516"/>
        <v>0.4</v>
      </c>
      <c r="F4014" s="1472"/>
      <c r="G4014" s="1472"/>
      <c r="H4014" s="1473"/>
      <c r="I4014" s="1472">
        <f t="shared" si="515"/>
        <v>25</v>
      </c>
      <c r="J4014" s="695">
        <f t="shared" si="517"/>
        <v>10</v>
      </c>
      <c r="K4014" s="650">
        <f t="shared" si="518"/>
        <v>0.4</v>
      </c>
    </row>
    <row r="4015" spans="1:11" ht="24.95" customHeight="1">
      <c r="A4015" s="456" t="s">
        <v>6522</v>
      </c>
      <c r="B4015" s="1387" t="s">
        <v>6523</v>
      </c>
      <c r="C4015" s="1472"/>
      <c r="D4015" s="1472"/>
      <c r="E4015" s="1473" t="e">
        <f t="shared" si="516"/>
        <v>#DIV/0!</v>
      </c>
      <c r="F4015" s="1472"/>
      <c r="G4015" s="1472"/>
      <c r="H4015" s="1473"/>
      <c r="I4015" s="1472">
        <f t="shared" si="515"/>
        <v>0</v>
      </c>
      <c r="J4015" s="695">
        <f t="shared" si="517"/>
        <v>0</v>
      </c>
      <c r="K4015" s="650" t="e">
        <f t="shared" si="518"/>
        <v>#DIV/0!</v>
      </c>
    </row>
    <row r="4016" spans="1:11" ht="24.95" customHeight="1">
      <c r="A4016" s="456" t="s">
        <v>2401</v>
      </c>
      <c r="B4016" s="1228" t="s">
        <v>2402</v>
      </c>
      <c r="C4016" s="1472">
        <v>5</v>
      </c>
      <c r="D4016" s="1472"/>
      <c r="E4016" s="1473">
        <f t="shared" si="516"/>
        <v>0</v>
      </c>
      <c r="F4016" s="1472"/>
      <c r="G4016" s="1472"/>
      <c r="H4016" s="1473"/>
      <c r="I4016" s="1472">
        <f t="shared" si="515"/>
        <v>5</v>
      </c>
      <c r="J4016" s="695">
        <f t="shared" si="517"/>
        <v>0</v>
      </c>
      <c r="K4016" s="650">
        <f t="shared" si="518"/>
        <v>0</v>
      </c>
    </row>
    <row r="4017" spans="1:11" ht="24.95" customHeight="1">
      <c r="A4017" s="456" t="s">
        <v>2423</v>
      </c>
      <c r="B4017" s="1474" t="s">
        <v>2424</v>
      </c>
      <c r="C4017" s="1472">
        <v>60</v>
      </c>
      <c r="D4017" s="1472">
        <v>27</v>
      </c>
      <c r="E4017" s="1473">
        <f t="shared" si="516"/>
        <v>0.45</v>
      </c>
      <c r="F4017" s="1472"/>
      <c r="G4017" s="1472"/>
      <c r="H4017" s="1473"/>
      <c r="I4017" s="1472">
        <f t="shared" si="515"/>
        <v>60</v>
      </c>
      <c r="J4017" s="695">
        <f t="shared" si="517"/>
        <v>27</v>
      </c>
      <c r="K4017" s="650">
        <f t="shared" si="518"/>
        <v>0.45</v>
      </c>
    </row>
    <row r="4018" spans="1:11" ht="24.95" customHeight="1">
      <c r="A4018" s="456" t="s">
        <v>6524</v>
      </c>
      <c r="B4018" s="1225" t="s">
        <v>6525</v>
      </c>
      <c r="C4018" s="1472">
        <v>10</v>
      </c>
      <c r="D4018" s="1472">
        <v>1</v>
      </c>
      <c r="E4018" s="1473">
        <f t="shared" si="516"/>
        <v>0.1</v>
      </c>
      <c r="F4018" s="1472"/>
      <c r="G4018" s="1472"/>
      <c r="H4018" s="1473"/>
      <c r="I4018" s="1472">
        <f t="shared" si="515"/>
        <v>10</v>
      </c>
      <c r="J4018" s="695">
        <f t="shared" si="517"/>
        <v>1</v>
      </c>
      <c r="K4018" s="650">
        <f t="shared" si="518"/>
        <v>0.1</v>
      </c>
    </row>
    <row r="4019" spans="1:11" ht="24.95" customHeight="1">
      <c r="A4019" s="456" t="s">
        <v>2620</v>
      </c>
      <c r="B4019" s="1225" t="s">
        <v>2621</v>
      </c>
      <c r="C4019" s="1472">
        <v>10</v>
      </c>
      <c r="D4019" s="1472">
        <v>8</v>
      </c>
      <c r="E4019" s="1473">
        <f t="shared" si="516"/>
        <v>0.8</v>
      </c>
      <c r="F4019" s="1472"/>
      <c r="G4019" s="1472"/>
      <c r="H4019" s="1473"/>
      <c r="I4019" s="1472">
        <f t="shared" si="515"/>
        <v>10</v>
      </c>
      <c r="J4019" s="695">
        <f t="shared" si="517"/>
        <v>8</v>
      </c>
      <c r="K4019" s="650">
        <f t="shared" si="518"/>
        <v>0.8</v>
      </c>
    </row>
    <row r="4020" spans="1:11" ht="24.95" customHeight="1">
      <c r="A4020" s="456" t="s">
        <v>2624</v>
      </c>
      <c r="B4020" s="1475" t="s">
        <v>2330</v>
      </c>
      <c r="C4020" s="1472">
        <v>60</v>
      </c>
      <c r="D4020" s="1472">
        <v>50</v>
      </c>
      <c r="E4020" s="1473">
        <f t="shared" si="516"/>
        <v>0.83333333333333337</v>
      </c>
      <c r="F4020" s="1472"/>
      <c r="G4020" s="1472"/>
      <c r="H4020" s="1473"/>
      <c r="I4020" s="1472">
        <f t="shared" si="515"/>
        <v>60</v>
      </c>
      <c r="J4020" s="695">
        <f t="shared" si="517"/>
        <v>50</v>
      </c>
      <c r="K4020" s="650">
        <f t="shared" si="518"/>
        <v>0.83333333333333337</v>
      </c>
    </row>
    <row r="4021" spans="1:11" ht="24.95" customHeight="1">
      <c r="A4021" s="456" t="s">
        <v>2631</v>
      </c>
      <c r="B4021" s="1225" t="s">
        <v>2632</v>
      </c>
      <c r="C4021" s="1472">
        <v>10</v>
      </c>
      <c r="D4021" s="1472">
        <v>5</v>
      </c>
      <c r="E4021" s="1473">
        <f t="shared" si="516"/>
        <v>0.5</v>
      </c>
      <c r="F4021" s="1472"/>
      <c r="G4021" s="1472"/>
      <c r="H4021" s="1473"/>
      <c r="I4021" s="1472">
        <f t="shared" si="515"/>
        <v>10</v>
      </c>
      <c r="J4021" s="695">
        <f t="shared" si="517"/>
        <v>5</v>
      </c>
      <c r="K4021" s="650">
        <f t="shared" si="518"/>
        <v>0.5</v>
      </c>
    </row>
    <row r="4022" spans="1:11" ht="24.95" customHeight="1">
      <c r="A4022" s="456" t="s">
        <v>2178</v>
      </c>
      <c r="B4022" s="1225" t="s">
        <v>2179</v>
      </c>
      <c r="C4022" s="1472">
        <v>220</v>
      </c>
      <c r="D4022" s="1472">
        <v>153</v>
      </c>
      <c r="E4022" s="1473">
        <f t="shared" si="516"/>
        <v>0.69545454545454544</v>
      </c>
      <c r="F4022" s="1472"/>
      <c r="G4022" s="1472"/>
      <c r="H4022" s="1473"/>
      <c r="I4022" s="1472">
        <f t="shared" si="515"/>
        <v>220</v>
      </c>
      <c r="J4022" s="695">
        <f t="shared" si="517"/>
        <v>153</v>
      </c>
      <c r="K4022" s="650">
        <f t="shared" si="518"/>
        <v>0.69545454545454544</v>
      </c>
    </row>
    <row r="4023" spans="1:11" ht="24.95" customHeight="1">
      <c r="A4023" s="456" t="s">
        <v>2639</v>
      </c>
      <c r="B4023" s="1225" t="s">
        <v>6526</v>
      </c>
      <c r="C4023" s="1472">
        <v>525</v>
      </c>
      <c r="D4023" s="1472">
        <v>223</v>
      </c>
      <c r="E4023" s="1473">
        <f t="shared" si="516"/>
        <v>0.42476190476190478</v>
      </c>
      <c r="F4023" s="1472"/>
      <c r="G4023" s="1472"/>
      <c r="H4023" s="1473"/>
      <c r="I4023" s="1472">
        <f t="shared" si="515"/>
        <v>525</v>
      </c>
      <c r="J4023" s="695">
        <f t="shared" si="517"/>
        <v>223</v>
      </c>
      <c r="K4023" s="650">
        <f t="shared" si="518"/>
        <v>0.42476190476190478</v>
      </c>
    </row>
    <row r="4024" spans="1:11" ht="24.95" customHeight="1">
      <c r="A4024" s="750"/>
      <c r="B4024" s="1271" t="s">
        <v>2</v>
      </c>
      <c r="C4024" s="1476">
        <f t="shared" ref="C4024:J4024" si="519">SUM(C4010:C4023)</f>
        <v>1306</v>
      </c>
      <c r="D4024" s="1476">
        <f t="shared" si="519"/>
        <v>729</v>
      </c>
      <c r="E4024" s="1473">
        <f t="shared" si="516"/>
        <v>0.55819295558958648</v>
      </c>
      <c r="F4024" s="1476">
        <f t="shared" si="519"/>
        <v>0</v>
      </c>
      <c r="G4024" s="1476"/>
      <c r="H4024" s="1477"/>
      <c r="I4024" s="1476">
        <f t="shared" si="519"/>
        <v>1306</v>
      </c>
      <c r="J4024" s="1476">
        <f t="shared" si="519"/>
        <v>729</v>
      </c>
      <c r="K4024" s="650">
        <f t="shared" si="518"/>
        <v>0.55819295558958648</v>
      </c>
    </row>
    <row r="4025" spans="1:11" ht="24.95" customHeight="1">
      <c r="A4025" s="1478"/>
      <c r="B4025" s="1479" t="s">
        <v>3978</v>
      </c>
      <c r="C4025" s="1929"/>
      <c r="D4025" s="1930"/>
      <c r="E4025" s="1930"/>
      <c r="F4025" s="1930"/>
      <c r="G4025" s="1930"/>
      <c r="H4025" s="1930"/>
      <c r="I4025" s="1930"/>
      <c r="J4025" s="1930"/>
      <c r="K4025" s="1931"/>
    </row>
    <row r="4026" spans="1:11" ht="24.95" customHeight="1">
      <c r="A4026" s="456" t="s">
        <v>2387</v>
      </c>
      <c r="B4026" s="1387" t="s">
        <v>2388</v>
      </c>
      <c r="C4026" s="1472"/>
      <c r="D4026" s="1472"/>
      <c r="E4026" s="1473"/>
      <c r="F4026" s="1472">
        <v>70</v>
      </c>
      <c r="G4026" s="1472">
        <v>6</v>
      </c>
      <c r="H4026" s="1473">
        <f>+G4026/F4026</f>
        <v>8.5714285714285715E-2</v>
      </c>
      <c r="I4026" s="1472">
        <f t="shared" ref="I4026:I4040" si="520">+C4026+F4026</f>
        <v>70</v>
      </c>
      <c r="J4026" s="695">
        <f>+G4026</f>
        <v>6</v>
      </c>
      <c r="K4026" s="650">
        <f>+J4026/I4026</f>
        <v>8.5714285714285715E-2</v>
      </c>
    </row>
    <row r="4027" spans="1:11" ht="24.95" customHeight="1">
      <c r="A4027" s="456">
        <v>130207</v>
      </c>
      <c r="B4027" s="1387" t="s">
        <v>2390</v>
      </c>
      <c r="C4027" s="1472"/>
      <c r="D4027" s="1472"/>
      <c r="E4027" s="1473"/>
      <c r="F4027" s="1472">
        <v>90</v>
      </c>
      <c r="G4027" s="1472">
        <v>22</v>
      </c>
      <c r="H4027" s="1473">
        <f t="shared" ref="H4027:H4053" si="521">+G4027/F4027</f>
        <v>0.24444444444444444</v>
      </c>
      <c r="I4027" s="1472">
        <f t="shared" si="520"/>
        <v>90</v>
      </c>
      <c r="J4027" s="695">
        <f t="shared" ref="J4027:J4050" si="522">+G4027</f>
        <v>22</v>
      </c>
      <c r="K4027" s="650">
        <f t="shared" ref="K4027:K4053" si="523">+J4027/I4027</f>
        <v>0.24444444444444444</v>
      </c>
    </row>
    <row r="4028" spans="1:11" ht="24.95" customHeight="1">
      <c r="A4028" s="456" t="s">
        <v>197</v>
      </c>
      <c r="B4028" s="1387" t="s">
        <v>6527</v>
      </c>
      <c r="C4028" s="1472"/>
      <c r="D4028" s="1472"/>
      <c r="E4028" s="1473"/>
      <c r="F4028" s="1472">
        <v>11200</v>
      </c>
      <c r="G4028" s="1472">
        <v>5448</v>
      </c>
      <c r="H4028" s="1473">
        <f t="shared" si="521"/>
        <v>0.48642857142857143</v>
      </c>
      <c r="I4028" s="1472">
        <f t="shared" si="520"/>
        <v>11200</v>
      </c>
      <c r="J4028" s="695">
        <f t="shared" si="522"/>
        <v>5448</v>
      </c>
      <c r="K4028" s="650">
        <f t="shared" si="523"/>
        <v>0.48642857142857143</v>
      </c>
    </row>
    <row r="4029" spans="1:11" ht="24.95" customHeight="1">
      <c r="A4029" s="1264" t="s">
        <v>1877</v>
      </c>
      <c r="B4029" s="1373" t="s">
        <v>6528</v>
      </c>
      <c r="C4029" s="1472"/>
      <c r="D4029" s="1472"/>
      <c r="E4029" s="1473"/>
      <c r="F4029" s="1472">
        <v>2800</v>
      </c>
      <c r="G4029" s="1472">
        <v>1149</v>
      </c>
      <c r="H4029" s="1473">
        <f t="shared" si="521"/>
        <v>0.41035714285714286</v>
      </c>
      <c r="I4029" s="1472">
        <f t="shared" si="520"/>
        <v>2800</v>
      </c>
      <c r="J4029" s="695">
        <f t="shared" si="522"/>
        <v>1149</v>
      </c>
      <c r="K4029" s="650">
        <f t="shared" si="523"/>
        <v>0.41035714285714286</v>
      </c>
    </row>
    <row r="4030" spans="1:11" ht="24.95" customHeight="1">
      <c r="A4030" s="1264" t="s">
        <v>202</v>
      </c>
      <c r="B4030" s="1373" t="s">
        <v>6519</v>
      </c>
      <c r="C4030" s="1472"/>
      <c r="D4030" s="1472"/>
      <c r="E4030" s="1473"/>
      <c r="F4030" s="1472">
        <v>230</v>
      </c>
      <c r="G4030" s="1472">
        <v>133</v>
      </c>
      <c r="H4030" s="1473">
        <f t="shared" si="521"/>
        <v>0.57826086956521738</v>
      </c>
      <c r="I4030" s="1472">
        <f t="shared" si="520"/>
        <v>230</v>
      </c>
      <c r="J4030" s="695">
        <f t="shared" si="522"/>
        <v>133</v>
      </c>
      <c r="K4030" s="650">
        <f t="shared" si="523"/>
        <v>0.57826086956521738</v>
      </c>
    </row>
    <row r="4031" spans="1:11" ht="24.95" customHeight="1">
      <c r="A4031" s="1264" t="s">
        <v>6520</v>
      </c>
      <c r="B4031" s="1373" t="s">
        <v>6521</v>
      </c>
      <c r="C4031" s="1472"/>
      <c r="D4031" s="1472"/>
      <c r="E4031" s="1473"/>
      <c r="F4031" s="1472">
        <v>10</v>
      </c>
      <c r="G4031" s="1472">
        <v>3</v>
      </c>
      <c r="H4031" s="1473">
        <f t="shared" si="521"/>
        <v>0.3</v>
      </c>
      <c r="I4031" s="1472">
        <f t="shared" si="520"/>
        <v>10</v>
      </c>
      <c r="J4031" s="695">
        <f t="shared" si="522"/>
        <v>3</v>
      </c>
      <c r="K4031" s="650">
        <f t="shared" si="523"/>
        <v>0.3</v>
      </c>
    </row>
    <row r="4032" spans="1:11" ht="24.95" customHeight="1">
      <c r="A4032" s="1264" t="s">
        <v>3937</v>
      </c>
      <c r="B4032" s="1373" t="s">
        <v>3938</v>
      </c>
      <c r="C4032" s="1472"/>
      <c r="D4032" s="1472"/>
      <c r="E4032" s="1473"/>
      <c r="F4032" s="1472">
        <v>1</v>
      </c>
      <c r="G4032" s="1472"/>
      <c r="H4032" s="1473">
        <f t="shared" si="521"/>
        <v>0</v>
      </c>
      <c r="I4032" s="1472">
        <f t="shared" si="520"/>
        <v>1</v>
      </c>
      <c r="J4032" s="695">
        <f t="shared" si="522"/>
        <v>0</v>
      </c>
      <c r="K4032" s="650">
        <f t="shared" si="523"/>
        <v>0</v>
      </c>
    </row>
    <row r="4033" spans="1:11" ht="24.95" customHeight="1">
      <c r="A4033" s="456" t="s">
        <v>2395</v>
      </c>
      <c r="B4033" s="1387" t="s">
        <v>2396</v>
      </c>
      <c r="C4033" s="1472"/>
      <c r="D4033" s="1472"/>
      <c r="E4033" s="1473"/>
      <c r="F4033" s="1472">
        <v>30</v>
      </c>
      <c r="G4033" s="1472">
        <v>8</v>
      </c>
      <c r="H4033" s="1473">
        <f t="shared" si="521"/>
        <v>0.26666666666666666</v>
      </c>
      <c r="I4033" s="1472">
        <f t="shared" si="520"/>
        <v>30</v>
      </c>
      <c r="J4033" s="695">
        <f t="shared" si="522"/>
        <v>8</v>
      </c>
      <c r="K4033" s="650">
        <f t="shared" si="523"/>
        <v>0.26666666666666666</v>
      </c>
    </row>
    <row r="4034" spans="1:11" ht="24.95" customHeight="1">
      <c r="A4034" s="456" t="s">
        <v>2401</v>
      </c>
      <c r="B4034" s="1228" t="s">
        <v>2402</v>
      </c>
      <c r="C4034" s="1472"/>
      <c r="D4034" s="1472"/>
      <c r="E4034" s="1473"/>
      <c r="F4034" s="1472">
        <v>2500</v>
      </c>
      <c r="G4034" s="1472">
        <v>1030</v>
      </c>
      <c r="H4034" s="1473">
        <f t="shared" si="521"/>
        <v>0.41199999999999998</v>
      </c>
      <c r="I4034" s="1472">
        <f t="shared" si="520"/>
        <v>2500</v>
      </c>
      <c r="J4034" s="695">
        <f t="shared" si="522"/>
        <v>1030</v>
      </c>
      <c r="K4034" s="650">
        <f t="shared" si="523"/>
        <v>0.41199999999999998</v>
      </c>
    </row>
    <row r="4035" spans="1:11" ht="24.95" customHeight="1">
      <c r="A4035" s="456">
        <v>260092</v>
      </c>
      <c r="B4035" s="1228" t="s">
        <v>2809</v>
      </c>
      <c r="C4035" s="1472"/>
      <c r="D4035" s="1472"/>
      <c r="E4035" s="1473"/>
      <c r="F4035" s="1472">
        <v>5</v>
      </c>
      <c r="G4035" s="1472"/>
      <c r="H4035" s="1473">
        <f t="shared" si="521"/>
        <v>0</v>
      </c>
      <c r="I4035" s="1472">
        <f t="shared" si="520"/>
        <v>5</v>
      </c>
      <c r="J4035" s="695">
        <f t="shared" si="522"/>
        <v>0</v>
      </c>
      <c r="K4035" s="650">
        <f t="shared" si="523"/>
        <v>0</v>
      </c>
    </row>
    <row r="4036" spans="1:11" ht="24.95" customHeight="1">
      <c r="A4036" s="456" t="s">
        <v>2423</v>
      </c>
      <c r="B4036" s="1474" t="s">
        <v>2424</v>
      </c>
      <c r="C4036" s="1472"/>
      <c r="D4036" s="1472"/>
      <c r="E4036" s="1473"/>
      <c r="F4036" s="1472">
        <v>1600</v>
      </c>
      <c r="G4036" s="1472">
        <v>540</v>
      </c>
      <c r="H4036" s="1473">
        <f t="shared" si="521"/>
        <v>0.33750000000000002</v>
      </c>
      <c r="I4036" s="1472">
        <f t="shared" si="520"/>
        <v>1600</v>
      </c>
      <c r="J4036" s="695">
        <f t="shared" si="522"/>
        <v>540</v>
      </c>
      <c r="K4036" s="650">
        <f t="shared" si="523"/>
        <v>0.33750000000000002</v>
      </c>
    </row>
    <row r="4037" spans="1:11" ht="24.95" customHeight="1">
      <c r="A4037" s="456" t="s">
        <v>6529</v>
      </c>
      <c r="B4037" s="1228" t="s">
        <v>6530</v>
      </c>
      <c r="C4037" s="1472"/>
      <c r="D4037" s="1472"/>
      <c r="E4037" s="1473"/>
      <c r="F4037" s="1472">
        <v>1120</v>
      </c>
      <c r="G4037" s="1472">
        <v>565</v>
      </c>
      <c r="H4037" s="1473">
        <f t="shared" si="521"/>
        <v>0.5044642857142857</v>
      </c>
      <c r="I4037" s="1472">
        <f t="shared" si="520"/>
        <v>1120</v>
      </c>
      <c r="J4037" s="695">
        <f t="shared" si="522"/>
        <v>565</v>
      </c>
      <c r="K4037" s="650">
        <f t="shared" si="523"/>
        <v>0.5044642857142857</v>
      </c>
    </row>
    <row r="4038" spans="1:11" ht="24.95" customHeight="1">
      <c r="A4038" s="456" t="s">
        <v>6524</v>
      </c>
      <c r="B4038" s="1228" t="s">
        <v>6525</v>
      </c>
      <c r="C4038" s="1472"/>
      <c r="D4038" s="1472"/>
      <c r="E4038" s="1473"/>
      <c r="F4038" s="1472">
        <v>1</v>
      </c>
      <c r="G4038" s="1472"/>
      <c r="H4038" s="1473">
        <f t="shared" si="521"/>
        <v>0</v>
      </c>
      <c r="I4038" s="1472">
        <f t="shared" si="520"/>
        <v>1</v>
      </c>
      <c r="J4038" s="695">
        <f t="shared" si="522"/>
        <v>0</v>
      </c>
      <c r="K4038" s="650">
        <f t="shared" si="523"/>
        <v>0</v>
      </c>
    </row>
    <row r="4039" spans="1:11" ht="24.95" customHeight="1">
      <c r="A4039" s="456" t="s">
        <v>3039</v>
      </c>
      <c r="B4039" s="1225" t="s">
        <v>3803</v>
      </c>
      <c r="C4039" s="1472"/>
      <c r="D4039" s="1472"/>
      <c r="E4039" s="1473"/>
      <c r="F4039" s="1472">
        <v>25</v>
      </c>
      <c r="G4039" s="1472">
        <v>23</v>
      </c>
      <c r="H4039" s="1473">
        <f t="shared" si="521"/>
        <v>0.92</v>
      </c>
      <c r="I4039" s="1472">
        <f t="shared" si="520"/>
        <v>25</v>
      </c>
      <c r="J4039" s="695">
        <f t="shared" si="522"/>
        <v>23</v>
      </c>
      <c r="K4039" s="650">
        <f t="shared" si="523"/>
        <v>0.92</v>
      </c>
    </row>
    <row r="4040" spans="1:11" ht="24.95" customHeight="1">
      <c r="A4040" s="456" t="s">
        <v>3084</v>
      </c>
      <c r="B4040" s="1225" t="s">
        <v>6531</v>
      </c>
      <c r="C4040" s="1472"/>
      <c r="D4040" s="1472"/>
      <c r="E4040" s="1473"/>
      <c r="F4040" s="1472">
        <v>1</v>
      </c>
      <c r="G4040" s="1472"/>
      <c r="H4040" s="1473">
        <f t="shared" si="521"/>
        <v>0</v>
      </c>
      <c r="I4040" s="1472">
        <f t="shared" si="520"/>
        <v>1</v>
      </c>
      <c r="J4040" s="695">
        <f t="shared" si="522"/>
        <v>0</v>
      </c>
      <c r="K4040" s="650">
        <f t="shared" si="523"/>
        <v>0</v>
      </c>
    </row>
    <row r="4041" spans="1:11" ht="24.95" customHeight="1">
      <c r="A4041" s="456" t="s">
        <v>1933</v>
      </c>
      <c r="B4041" s="1225" t="s">
        <v>4067</v>
      </c>
      <c r="C4041" s="1472"/>
      <c r="D4041" s="1472"/>
      <c r="E4041" s="1473"/>
      <c r="F4041" s="1472"/>
      <c r="G4041" s="1472"/>
      <c r="H4041" s="1473" t="e">
        <f t="shared" si="521"/>
        <v>#DIV/0!</v>
      </c>
      <c r="I4041" s="1472"/>
      <c r="J4041" s="695">
        <f t="shared" si="522"/>
        <v>0</v>
      </c>
      <c r="K4041" s="650" t="e">
        <f t="shared" si="523"/>
        <v>#DIV/0!</v>
      </c>
    </row>
    <row r="4042" spans="1:11" ht="24.95" customHeight="1">
      <c r="A4042" s="456" t="s">
        <v>2615</v>
      </c>
      <c r="B4042" s="1379" t="s">
        <v>3200</v>
      </c>
      <c r="C4042" s="1472"/>
      <c r="D4042" s="1472"/>
      <c r="E4042" s="1473"/>
      <c r="F4042" s="1472">
        <v>57810</v>
      </c>
      <c r="G4042" s="1472">
        <v>27268</v>
      </c>
      <c r="H4042" s="1473">
        <f t="shared" si="521"/>
        <v>0.47168309980972151</v>
      </c>
      <c r="I4042" s="1472">
        <f t="shared" ref="I4042:I4050" si="524">+C4042+F4042</f>
        <v>57810</v>
      </c>
      <c r="J4042" s="695">
        <f t="shared" si="522"/>
        <v>27268</v>
      </c>
      <c r="K4042" s="650">
        <f t="shared" si="523"/>
        <v>0.47168309980972151</v>
      </c>
    </row>
    <row r="4043" spans="1:11" ht="24.95" customHeight="1">
      <c r="A4043" s="456" t="s">
        <v>2620</v>
      </c>
      <c r="B4043" s="1225" t="s">
        <v>2621</v>
      </c>
      <c r="C4043" s="1472"/>
      <c r="D4043" s="1472"/>
      <c r="E4043" s="1473"/>
      <c r="F4043" s="1472">
        <v>20</v>
      </c>
      <c r="G4043" s="1472">
        <v>10</v>
      </c>
      <c r="H4043" s="1473">
        <f t="shared" si="521"/>
        <v>0.5</v>
      </c>
      <c r="I4043" s="1472">
        <f t="shared" si="524"/>
        <v>20</v>
      </c>
      <c r="J4043" s="695">
        <f t="shared" si="522"/>
        <v>10</v>
      </c>
      <c r="K4043" s="650">
        <f t="shared" si="523"/>
        <v>0.5</v>
      </c>
    </row>
    <row r="4044" spans="1:11" ht="24.95" customHeight="1">
      <c r="A4044" s="456" t="s">
        <v>2624</v>
      </c>
      <c r="B4044" s="1475" t="s">
        <v>2330</v>
      </c>
      <c r="C4044" s="1472"/>
      <c r="D4044" s="1472"/>
      <c r="E4044" s="1473"/>
      <c r="F4044" s="1472">
        <v>445</v>
      </c>
      <c r="G4044" s="1472">
        <v>127</v>
      </c>
      <c r="H4044" s="1473">
        <f t="shared" si="521"/>
        <v>0.28539325842696628</v>
      </c>
      <c r="I4044" s="1472">
        <f t="shared" si="524"/>
        <v>445</v>
      </c>
      <c r="J4044" s="695">
        <f t="shared" si="522"/>
        <v>127</v>
      </c>
      <c r="K4044" s="650">
        <f t="shared" si="523"/>
        <v>0.28539325842696628</v>
      </c>
    </row>
    <row r="4045" spans="1:11" ht="24.95" customHeight="1">
      <c r="A4045" s="456" t="s">
        <v>2331</v>
      </c>
      <c r="B4045" s="1225" t="s">
        <v>2332</v>
      </c>
      <c r="C4045" s="1472"/>
      <c r="D4045" s="1472"/>
      <c r="E4045" s="1473"/>
      <c r="F4045" s="1472">
        <v>60</v>
      </c>
      <c r="G4045" s="1472">
        <v>29</v>
      </c>
      <c r="H4045" s="1473">
        <f t="shared" si="521"/>
        <v>0.48333333333333334</v>
      </c>
      <c r="I4045" s="1472">
        <f t="shared" si="524"/>
        <v>60</v>
      </c>
      <c r="J4045" s="695">
        <f t="shared" si="522"/>
        <v>29</v>
      </c>
      <c r="K4045" s="650">
        <f t="shared" si="523"/>
        <v>0.48333333333333334</v>
      </c>
    </row>
    <row r="4046" spans="1:11" ht="24.95" customHeight="1">
      <c r="A4046" s="456" t="s">
        <v>2629</v>
      </c>
      <c r="B4046" s="1225" t="s">
        <v>3211</v>
      </c>
      <c r="C4046" s="1472"/>
      <c r="D4046" s="1472"/>
      <c r="E4046" s="1473"/>
      <c r="F4046" s="1472">
        <v>2</v>
      </c>
      <c r="G4046" s="1472"/>
      <c r="H4046" s="1473">
        <f t="shared" si="521"/>
        <v>0</v>
      </c>
      <c r="I4046" s="1472">
        <f t="shared" si="524"/>
        <v>2</v>
      </c>
      <c r="J4046" s="695">
        <f t="shared" si="522"/>
        <v>0</v>
      </c>
      <c r="K4046" s="650">
        <f t="shared" si="523"/>
        <v>0</v>
      </c>
    </row>
    <row r="4047" spans="1:11" ht="24.95" customHeight="1">
      <c r="A4047" s="456" t="s">
        <v>2631</v>
      </c>
      <c r="B4047" s="1225" t="s">
        <v>2632</v>
      </c>
      <c r="C4047" s="1472"/>
      <c r="D4047" s="1472"/>
      <c r="E4047" s="1473"/>
      <c r="F4047" s="1472">
        <v>1300</v>
      </c>
      <c r="G4047" s="1472">
        <v>708</v>
      </c>
      <c r="H4047" s="1473">
        <f t="shared" si="521"/>
        <v>0.54461538461538461</v>
      </c>
      <c r="I4047" s="1472">
        <f t="shared" si="524"/>
        <v>1300</v>
      </c>
      <c r="J4047" s="695">
        <f t="shared" si="522"/>
        <v>708</v>
      </c>
      <c r="K4047" s="650">
        <f t="shared" si="523"/>
        <v>0.54461538461538461</v>
      </c>
    </row>
    <row r="4048" spans="1:11" ht="24.95" customHeight="1">
      <c r="A4048" s="456" t="s">
        <v>2178</v>
      </c>
      <c r="B4048" s="1225" t="s">
        <v>2179</v>
      </c>
      <c r="C4048" s="1472"/>
      <c r="D4048" s="1472"/>
      <c r="E4048" s="1473"/>
      <c r="F4048" s="1472">
        <v>11180</v>
      </c>
      <c r="G4048" s="1472">
        <v>3595</v>
      </c>
      <c r="H4048" s="1473">
        <f t="shared" si="521"/>
        <v>0.32155635062611809</v>
      </c>
      <c r="I4048" s="1472">
        <f t="shared" si="524"/>
        <v>11180</v>
      </c>
      <c r="J4048" s="695">
        <f t="shared" si="522"/>
        <v>3595</v>
      </c>
      <c r="K4048" s="650">
        <f t="shared" si="523"/>
        <v>0.32155635062611809</v>
      </c>
    </row>
    <row r="4049" spans="1:11" ht="24.95" customHeight="1">
      <c r="A4049" s="456" t="s">
        <v>2637</v>
      </c>
      <c r="B4049" s="1225" t="s">
        <v>2638</v>
      </c>
      <c r="C4049" s="1472"/>
      <c r="D4049" s="1472"/>
      <c r="E4049" s="1473"/>
      <c r="F4049" s="1472">
        <v>240</v>
      </c>
      <c r="G4049" s="1472">
        <v>32</v>
      </c>
      <c r="H4049" s="1473">
        <f t="shared" si="521"/>
        <v>0.13333333333333333</v>
      </c>
      <c r="I4049" s="1472">
        <f t="shared" si="524"/>
        <v>240</v>
      </c>
      <c r="J4049" s="695">
        <f t="shared" si="522"/>
        <v>32</v>
      </c>
      <c r="K4049" s="650">
        <f t="shared" si="523"/>
        <v>0.13333333333333333</v>
      </c>
    </row>
    <row r="4050" spans="1:11" ht="24.95" customHeight="1">
      <c r="A4050" s="456" t="s">
        <v>2639</v>
      </c>
      <c r="B4050" s="1225" t="s">
        <v>6526</v>
      </c>
      <c r="C4050" s="1472"/>
      <c r="D4050" s="1472"/>
      <c r="E4050" s="1473"/>
      <c r="F4050" s="1472">
        <v>5170</v>
      </c>
      <c r="G4050" s="1472">
        <v>2590</v>
      </c>
      <c r="H4050" s="1473">
        <f t="shared" si="521"/>
        <v>0.50096711798839455</v>
      </c>
      <c r="I4050" s="1472">
        <f t="shared" si="524"/>
        <v>5170</v>
      </c>
      <c r="J4050" s="695">
        <f t="shared" si="522"/>
        <v>2590</v>
      </c>
      <c r="K4050" s="650">
        <f t="shared" si="523"/>
        <v>0.50096711798839455</v>
      </c>
    </row>
    <row r="4051" spans="1:11" ht="24.95" customHeight="1">
      <c r="A4051" s="1480"/>
      <c r="B4051" s="1481" t="s">
        <v>6532</v>
      </c>
      <c r="C4051" s="1482">
        <f t="shared" ref="C4051:J4051" si="525">SUM(C4026:C4050)</f>
        <v>0</v>
      </c>
      <c r="D4051" s="1482">
        <f t="shared" si="525"/>
        <v>0</v>
      </c>
      <c r="E4051" s="1483" t="e">
        <f>+D4051/C4051</f>
        <v>#DIV/0!</v>
      </c>
      <c r="F4051" s="1482">
        <f t="shared" si="525"/>
        <v>95910</v>
      </c>
      <c r="G4051" s="1482">
        <f t="shared" si="525"/>
        <v>43286</v>
      </c>
      <c r="H4051" s="1473">
        <f t="shared" si="521"/>
        <v>0.45131894484412471</v>
      </c>
      <c r="I4051" s="1482">
        <f t="shared" si="525"/>
        <v>95910</v>
      </c>
      <c r="J4051" s="1482">
        <f t="shared" si="525"/>
        <v>43286</v>
      </c>
      <c r="K4051" s="650">
        <f t="shared" si="523"/>
        <v>0.45131894484412471</v>
      </c>
    </row>
    <row r="4052" spans="1:11" ht="24.95" customHeight="1">
      <c r="A4052" s="1480"/>
      <c r="B4052" s="1484" t="s">
        <v>6533</v>
      </c>
      <c r="C4052" s="1485">
        <f t="shared" ref="C4052:J4052" si="526">+C4024</f>
        <v>1306</v>
      </c>
      <c r="D4052" s="1485">
        <f t="shared" si="526"/>
        <v>729</v>
      </c>
      <c r="E4052" s="1483">
        <f t="shared" ref="E4052:E4053" si="527">+D4052/C4052</f>
        <v>0.55819295558958648</v>
      </c>
      <c r="F4052" s="1485">
        <f t="shared" si="526"/>
        <v>0</v>
      </c>
      <c r="G4052" s="1485">
        <f t="shared" si="526"/>
        <v>0</v>
      </c>
      <c r="H4052" s="1473" t="e">
        <f t="shared" si="521"/>
        <v>#DIV/0!</v>
      </c>
      <c r="I4052" s="1485">
        <f t="shared" si="526"/>
        <v>1306</v>
      </c>
      <c r="J4052" s="1485">
        <f t="shared" si="526"/>
        <v>729</v>
      </c>
      <c r="K4052" s="650">
        <f t="shared" si="523"/>
        <v>0.55819295558958648</v>
      </c>
    </row>
    <row r="4053" spans="1:11" ht="24.95" customHeight="1">
      <c r="A4053" s="1210"/>
      <c r="B4053" s="1486" t="s">
        <v>2671</v>
      </c>
      <c r="C4053" s="1482">
        <f t="shared" ref="C4053:J4053" si="528">+C4051+C4052</f>
        <v>1306</v>
      </c>
      <c r="D4053" s="1482">
        <f t="shared" si="528"/>
        <v>729</v>
      </c>
      <c r="E4053" s="1483">
        <f t="shared" si="527"/>
        <v>0.55819295558958648</v>
      </c>
      <c r="F4053" s="1482">
        <f t="shared" si="528"/>
        <v>95910</v>
      </c>
      <c r="G4053" s="1482">
        <f t="shared" si="528"/>
        <v>43286</v>
      </c>
      <c r="H4053" s="1473">
        <f t="shared" si="521"/>
        <v>0.45131894484412471</v>
      </c>
      <c r="I4053" s="1482">
        <f t="shared" si="528"/>
        <v>97216</v>
      </c>
      <c r="J4053" s="1482">
        <f t="shared" si="528"/>
        <v>44015</v>
      </c>
      <c r="K4053" s="650">
        <f t="shared" si="523"/>
        <v>0.45275469058591178</v>
      </c>
    </row>
    <row r="4054" spans="1:11" ht="36.75" customHeight="1">
      <c r="A4054" s="1932" t="s">
        <v>6534</v>
      </c>
      <c r="B4054" s="1932"/>
      <c r="C4054" s="1932"/>
      <c r="D4054" s="1932"/>
      <c r="E4054" s="1932"/>
      <c r="F4054" s="1932"/>
      <c r="G4054" s="1932"/>
      <c r="H4054" s="1932"/>
      <c r="I4054" s="1932"/>
      <c r="J4054" s="1932"/>
      <c r="K4054" s="1932"/>
    </row>
  </sheetData>
  <mergeCells count="347">
    <mergeCell ref="I6:K6"/>
    <mergeCell ref="C8:K8"/>
    <mergeCell ref="A168:I168"/>
    <mergeCell ref="C169:I169"/>
    <mergeCell ref="C170:I170"/>
    <mergeCell ref="C1:K1"/>
    <mergeCell ref="C2:K2"/>
    <mergeCell ref="C3:K3"/>
    <mergeCell ref="C4:K4"/>
    <mergeCell ref="C5:K5"/>
    <mergeCell ref="A6:A7"/>
    <mergeCell ref="B6:B7"/>
    <mergeCell ref="C6:E6"/>
    <mergeCell ref="F6:H6"/>
    <mergeCell ref="C176:K176"/>
    <mergeCell ref="C177:K177"/>
    <mergeCell ref="C238:K238"/>
    <mergeCell ref="C239:K239"/>
    <mergeCell ref="C395:K395"/>
    <mergeCell ref="C171:I171"/>
    <mergeCell ref="C172:I172"/>
    <mergeCell ref="C173:I173"/>
    <mergeCell ref="A174:A175"/>
    <mergeCell ref="B174:B175"/>
    <mergeCell ref="C174:E174"/>
    <mergeCell ref="F174:H174"/>
    <mergeCell ref="I174:K174"/>
    <mergeCell ref="C638:K638"/>
    <mergeCell ref="C639:K639"/>
    <mergeCell ref="C640:K640"/>
    <mergeCell ref="A641:A642"/>
    <mergeCell ref="B641:B642"/>
    <mergeCell ref="C641:E641"/>
    <mergeCell ref="F641:H641"/>
    <mergeCell ref="I641:K641"/>
    <mergeCell ref="C478:K478"/>
    <mergeCell ref="A634:K634"/>
    <mergeCell ref="A635:K635"/>
    <mergeCell ref="C636:K636"/>
    <mergeCell ref="C637:K637"/>
    <mergeCell ref="C729:K729"/>
    <mergeCell ref="C730:K730"/>
    <mergeCell ref="C731:K731"/>
    <mergeCell ref="A732:A733"/>
    <mergeCell ref="B732:B733"/>
    <mergeCell ref="C732:E732"/>
    <mergeCell ref="F732:H732"/>
    <mergeCell ref="I732:K732"/>
    <mergeCell ref="C643:I643"/>
    <mergeCell ref="C702:I702"/>
    <mergeCell ref="A724:I724"/>
    <mergeCell ref="C727:K727"/>
    <mergeCell ref="C728:K728"/>
    <mergeCell ref="A832:B832"/>
    <mergeCell ref="C832:K832"/>
    <mergeCell ref="A833:B833"/>
    <mergeCell ref="C833:K833"/>
    <mergeCell ref="A834:B834"/>
    <mergeCell ref="C834:K834"/>
    <mergeCell ref="C734:K734"/>
    <mergeCell ref="C800:I800"/>
    <mergeCell ref="A829:I829"/>
    <mergeCell ref="A830:I830"/>
    <mergeCell ref="A831:B831"/>
    <mergeCell ref="C831:K831"/>
    <mergeCell ref="C838:K838"/>
    <mergeCell ref="A839:B839"/>
    <mergeCell ref="C839:K839"/>
    <mergeCell ref="A902:B902"/>
    <mergeCell ref="C902:I902"/>
    <mergeCell ref="A835:B835"/>
    <mergeCell ref="C835:K835"/>
    <mergeCell ref="A836:A837"/>
    <mergeCell ref="B836:B837"/>
    <mergeCell ref="C836:E836"/>
    <mergeCell ref="F836:H836"/>
    <mergeCell ref="I836:K836"/>
    <mergeCell ref="C1197:K1197"/>
    <mergeCell ref="C1198:K1198"/>
    <mergeCell ref="C1199:K1199"/>
    <mergeCell ref="A1200:A1201"/>
    <mergeCell ref="B1200:B1201"/>
    <mergeCell ref="C1200:E1200"/>
    <mergeCell ref="F1200:H1200"/>
    <mergeCell ref="I1200:K1200"/>
    <mergeCell ref="C993:K993"/>
    <mergeCell ref="A1193:I1193"/>
    <mergeCell ref="A1194:I1194"/>
    <mergeCell ref="C1195:K1195"/>
    <mergeCell ref="C1196:K1196"/>
    <mergeCell ref="A1273:B1273"/>
    <mergeCell ref="C1273:K1273"/>
    <mergeCell ref="A1274:B1274"/>
    <mergeCell ref="C1274:K1274"/>
    <mergeCell ref="A1275:B1275"/>
    <mergeCell ref="C1275:K1275"/>
    <mergeCell ref="C1202:K1202"/>
    <mergeCell ref="A1270:I1270"/>
    <mergeCell ref="A1271:B1271"/>
    <mergeCell ref="C1271:K1271"/>
    <mergeCell ref="A1272:B1272"/>
    <mergeCell ref="C1272:K1272"/>
    <mergeCell ref="C1278:K1278"/>
    <mergeCell ref="C1355:K1355"/>
    <mergeCell ref="A1386:I1386"/>
    <mergeCell ref="A1387:K1387"/>
    <mergeCell ref="A1388:B1388"/>
    <mergeCell ref="C1388:K1388"/>
    <mergeCell ref="A1276:A1277"/>
    <mergeCell ref="B1276:B1277"/>
    <mergeCell ref="C1276:E1276"/>
    <mergeCell ref="F1276:H1276"/>
    <mergeCell ref="I1276:K1276"/>
    <mergeCell ref="A1392:B1392"/>
    <mergeCell ref="C1392:K1392"/>
    <mergeCell ref="A1393:A1394"/>
    <mergeCell ref="B1393:B1394"/>
    <mergeCell ref="C1393:E1393"/>
    <mergeCell ref="F1393:H1393"/>
    <mergeCell ref="I1393:K1393"/>
    <mergeCell ref="A1389:B1389"/>
    <mergeCell ref="C1389:K1389"/>
    <mergeCell ref="A1390:B1390"/>
    <mergeCell ref="C1390:K1390"/>
    <mergeCell ref="A1391:B1391"/>
    <mergeCell ref="C1391:K1391"/>
    <mergeCell ref="A1443:K1443"/>
    <mergeCell ref="A1444:K1444"/>
    <mergeCell ref="C1445:K1445"/>
    <mergeCell ref="A1450:K1450"/>
    <mergeCell ref="C1451:K1451"/>
    <mergeCell ref="C1395:K1395"/>
    <mergeCell ref="A1403:K1403"/>
    <mergeCell ref="C1404:K1404"/>
    <mergeCell ref="C1411:K1411"/>
    <mergeCell ref="C1429:K1429"/>
    <mergeCell ref="A1520:B1520"/>
    <mergeCell ref="C1520:K1520"/>
    <mergeCell ref="C1608:K1608"/>
    <mergeCell ref="A1644:B1644"/>
    <mergeCell ref="C1644:K1644"/>
    <mergeCell ref="C1455:K1455"/>
    <mergeCell ref="A1466:K1466"/>
    <mergeCell ref="C1467:K1467"/>
    <mergeCell ref="A1518:K1518"/>
    <mergeCell ref="A1519:B1519"/>
    <mergeCell ref="C1519:K1519"/>
    <mergeCell ref="A1648:B1648"/>
    <mergeCell ref="C1648:K1648"/>
    <mergeCell ref="A1649:A1650"/>
    <mergeCell ref="B1649:B1650"/>
    <mergeCell ref="C1649:E1649"/>
    <mergeCell ref="F1649:H1649"/>
    <mergeCell ref="I1649:K1649"/>
    <mergeCell ref="A1645:B1645"/>
    <mergeCell ref="C1645:K1645"/>
    <mergeCell ref="A1646:B1646"/>
    <mergeCell ref="C1646:K1646"/>
    <mergeCell ref="A1647:B1647"/>
    <mergeCell ref="C1647:K1647"/>
    <mergeCell ref="C1725:K1725"/>
    <mergeCell ref="A1726:A1727"/>
    <mergeCell ref="B1726:B1727"/>
    <mergeCell ref="C1726:E1726"/>
    <mergeCell ref="F1726:H1726"/>
    <mergeCell ref="I1726:K1726"/>
    <mergeCell ref="C1651:K1651"/>
    <mergeCell ref="C1721:K1721"/>
    <mergeCell ref="C1722:K1722"/>
    <mergeCell ref="C1723:K1723"/>
    <mergeCell ref="C1724:K1724"/>
    <mergeCell ref="A1804:B1804"/>
    <mergeCell ref="C1804:K1804"/>
    <mergeCell ref="A1805:B1805"/>
    <mergeCell ref="C1805:K1805"/>
    <mergeCell ref="A1806:B1806"/>
    <mergeCell ref="C1806:K1806"/>
    <mergeCell ref="C1728:K1728"/>
    <mergeCell ref="A1802:B1802"/>
    <mergeCell ref="C1802:K1802"/>
    <mergeCell ref="A1803:B1803"/>
    <mergeCell ref="C1803:K1803"/>
    <mergeCell ref="C1809:K1809"/>
    <mergeCell ref="C1840:K1840"/>
    <mergeCell ref="C1995:I1995"/>
    <mergeCell ref="A2031:K2031"/>
    <mergeCell ref="A2032:B2032"/>
    <mergeCell ref="C2032:K2032"/>
    <mergeCell ref="A1807:A1808"/>
    <mergeCell ref="B1807:B1808"/>
    <mergeCell ref="C1807:E1807"/>
    <mergeCell ref="F1807:H1807"/>
    <mergeCell ref="I1807:K1807"/>
    <mergeCell ref="A2036:B2036"/>
    <mergeCell ref="C2036:K2036"/>
    <mergeCell ref="A2037:A2038"/>
    <mergeCell ref="B2037:B2038"/>
    <mergeCell ref="C2037:E2037"/>
    <mergeCell ref="F2037:H2037"/>
    <mergeCell ref="I2037:K2037"/>
    <mergeCell ref="A2033:B2033"/>
    <mergeCell ref="C2033:K2033"/>
    <mergeCell ref="A2034:B2034"/>
    <mergeCell ref="C2034:K2034"/>
    <mergeCell ref="A2035:B2035"/>
    <mergeCell ref="C2035:K2035"/>
    <mergeCell ref="C2504:K2504"/>
    <mergeCell ref="C2571:I2571"/>
    <mergeCell ref="A2601:B2601"/>
    <mergeCell ref="C2601:K2601"/>
    <mergeCell ref="A2602:B2602"/>
    <mergeCell ref="C2602:K2602"/>
    <mergeCell ref="C2039:K2039"/>
    <mergeCell ref="C2040:K2040"/>
    <mergeCell ref="C2186:I2186"/>
    <mergeCell ref="A2306:I2306"/>
    <mergeCell ref="C2307:I2307"/>
    <mergeCell ref="A2606:A2607"/>
    <mergeCell ref="B2606:B2607"/>
    <mergeCell ref="C2606:E2606"/>
    <mergeCell ref="F2606:H2606"/>
    <mergeCell ref="I2606:K2606"/>
    <mergeCell ref="A2603:B2603"/>
    <mergeCell ref="C2603:K2603"/>
    <mergeCell ref="A2604:B2604"/>
    <mergeCell ref="C2604:K2604"/>
    <mergeCell ref="A2605:B2605"/>
    <mergeCell ref="C2605:K2605"/>
    <mergeCell ref="A2789:B2789"/>
    <mergeCell ref="C2789:K2789"/>
    <mergeCell ref="A2790:B2790"/>
    <mergeCell ref="C2790:K2790"/>
    <mergeCell ref="A2791:B2791"/>
    <mergeCell ref="C2791:K2791"/>
    <mergeCell ref="A2608:K2608"/>
    <mergeCell ref="A2741:I2741"/>
    <mergeCell ref="A2786:I2786"/>
    <mergeCell ref="A2787:I2787"/>
    <mergeCell ref="A2788:B2788"/>
    <mergeCell ref="C2788:K2788"/>
    <mergeCell ref="C2795:K2795"/>
    <mergeCell ref="C2997:I2997"/>
    <mergeCell ref="A3017:I3017"/>
    <mergeCell ref="A3018:B3018"/>
    <mergeCell ref="C3018:K3018"/>
    <mergeCell ref="A2792:B2792"/>
    <mergeCell ref="C2792:K2792"/>
    <mergeCell ref="A2793:A2794"/>
    <mergeCell ref="B2793:B2794"/>
    <mergeCell ref="C2793:E2793"/>
    <mergeCell ref="F2793:H2793"/>
    <mergeCell ref="I2793:K2793"/>
    <mergeCell ref="A3022:B3022"/>
    <mergeCell ref="C3022:K3022"/>
    <mergeCell ref="A3023:A3024"/>
    <mergeCell ref="B3023:B3024"/>
    <mergeCell ref="C3023:E3023"/>
    <mergeCell ref="F3023:H3023"/>
    <mergeCell ref="I3023:K3023"/>
    <mergeCell ref="A3019:B3019"/>
    <mergeCell ref="C3019:K3019"/>
    <mergeCell ref="A3020:B3020"/>
    <mergeCell ref="C3020:K3020"/>
    <mergeCell ref="A3021:B3021"/>
    <mergeCell ref="C3021:K3021"/>
    <mergeCell ref="C3672:K3672"/>
    <mergeCell ref="C3673:K3673"/>
    <mergeCell ref="C3674:K3674"/>
    <mergeCell ref="C3675:K3675"/>
    <mergeCell ref="C3676:K3676"/>
    <mergeCell ref="A3025:K3025"/>
    <mergeCell ref="C3026:K3026"/>
    <mergeCell ref="C3324:K3324"/>
    <mergeCell ref="C3358:I3358"/>
    <mergeCell ref="C3612:K3612"/>
    <mergeCell ref="A3679:K3679"/>
    <mergeCell ref="C3720:I3720"/>
    <mergeCell ref="A3760:I3760"/>
    <mergeCell ref="C3761:K3761"/>
    <mergeCell ref="C3762:K3762"/>
    <mergeCell ref="A3677:A3678"/>
    <mergeCell ref="B3677:B3678"/>
    <mergeCell ref="C3677:E3677"/>
    <mergeCell ref="F3677:H3677"/>
    <mergeCell ref="I3677:K3677"/>
    <mergeCell ref="A3768:K3768"/>
    <mergeCell ref="A3831:I3831"/>
    <mergeCell ref="A3832:B3832"/>
    <mergeCell ref="C3832:K3832"/>
    <mergeCell ref="A3833:B3833"/>
    <mergeCell ref="C3833:K3833"/>
    <mergeCell ref="C3763:K3763"/>
    <mergeCell ref="C3764:K3764"/>
    <mergeCell ref="C3765:K3765"/>
    <mergeCell ref="A3766:A3767"/>
    <mergeCell ref="B3766:B3767"/>
    <mergeCell ref="C3766:E3766"/>
    <mergeCell ref="F3766:H3766"/>
    <mergeCell ref="I3766:K3766"/>
    <mergeCell ref="A3837:A3838"/>
    <mergeCell ref="B3837:B3838"/>
    <mergeCell ref="C3837:E3837"/>
    <mergeCell ref="F3837:H3837"/>
    <mergeCell ref="I3837:K3837"/>
    <mergeCell ref="A3834:B3834"/>
    <mergeCell ref="C3834:K3834"/>
    <mergeCell ref="A3835:B3835"/>
    <mergeCell ref="C3835:K3835"/>
    <mergeCell ref="A3836:B3836"/>
    <mergeCell ref="C3836:K3836"/>
    <mergeCell ref="A3955:B3955"/>
    <mergeCell ref="C3955:K3955"/>
    <mergeCell ref="A3956:B3956"/>
    <mergeCell ref="C3956:K3956"/>
    <mergeCell ref="A3957:B3957"/>
    <mergeCell ref="C3957:K3957"/>
    <mergeCell ref="A3839:K3839"/>
    <mergeCell ref="C3938:I3938"/>
    <mergeCell ref="A3953:K3953"/>
    <mergeCell ref="A3954:B3954"/>
    <mergeCell ref="C3954:K3954"/>
    <mergeCell ref="A3961:K3961"/>
    <mergeCell ref="A4002:B4002"/>
    <mergeCell ref="C4002:K4002"/>
    <mergeCell ref="A4003:B4003"/>
    <mergeCell ref="C4003:K4003"/>
    <mergeCell ref="A3958:B3958"/>
    <mergeCell ref="C3958:K3958"/>
    <mergeCell ref="A3959:A3960"/>
    <mergeCell ref="B3959:B3960"/>
    <mergeCell ref="C3959:E3959"/>
    <mergeCell ref="F3959:H3959"/>
    <mergeCell ref="I3959:K3959"/>
    <mergeCell ref="A4009:K4009"/>
    <mergeCell ref="C4025:K4025"/>
    <mergeCell ref="A4054:K4054"/>
    <mergeCell ref="A4007:A4008"/>
    <mergeCell ref="B4007:B4008"/>
    <mergeCell ref="C4007:E4007"/>
    <mergeCell ref="F4007:H4007"/>
    <mergeCell ref="I4007:K4007"/>
    <mergeCell ref="A4004:B4004"/>
    <mergeCell ref="C4004:K4004"/>
    <mergeCell ref="A4005:B4005"/>
    <mergeCell ref="C4005:K4005"/>
    <mergeCell ref="A4006:B4006"/>
    <mergeCell ref="C4006:K4006"/>
  </mergeCells>
  <phoneticPr fontId="10" type="noConversion"/>
  <pageMargins left="0.23622047244094499" right="0.23622047244094499" top="0.35433070866141703" bottom="0.35433070866141703" header="0.31496062992126" footer="0.31496062992126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0"/>
  <sheetViews>
    <sheetView view="pageBreakPreview" zoomScale="60" workbookViewId="0">
      <selection activeCell="P11" sqref="P11"/>
    </sheetView>
  </sheetViews>
  <sheetFormatPr defaultRowHeight="12.75"/>
  <cols>
    <col min="1" max="1" width="9.140625" style="45"/>
    <col min="2" max="2" width="40.5703125" style="45" customWidth="1"/>
    <col min="3" max="3" width="9.42578125" style="641" bestFit="1" customWidth="1"/>
    <col min="4" max="4" width="9.42578125" style="1807" customWidth="1"/>
    <col min="5" max="5" width="9.42578125" style="1808" customWidth="1"/>
    <col min="6" max="6" width="9.28515625" style="1807" bestFit="1" customWidth="1"/>
    <col min="7" max="7" width="9.28515625" style="1807" customWidth="1"/>
    <col min="8" max="8" width="9.28515625" style="1808" customWidth="1"/>
    <col min="9" max="9" width="9.42578125" style="641" bestFit="1" customWidth="1"/>
    <col min="10" max="10" width="9.140625" style="45"/>
    <col min="11" max="11" width="9.140625" style="642"/>
  </cols>
  <sheetData>
    <row r="1" spans="1:11" ht="15">
      <c r="A1" s="2263" t="s">
        <v>208</v>
      </c>
      <c r="B1" s="2264"/>
      <c r="C1" s="2265" t="s">
        <v>1852</v>
      </c>
      <c r="D1" s="2266"/>
      <c r="E1" s="2266"/>
      <c r="F1" s="2266"/>
      <c r="G1" s="2266"/>
      <c r="H1" s="2266"/>
      <c r="I1" s="2266"/>
      <c r="J1" s="2266"/>
      <c r="K1" s="2266"/>
    </row>
    <row r="2" spans="1:11" ht="15">
      <c r="A2" s="2263" t="s">
        <v>209</v>
      </c>
      <c r="B2" s="2264"/>
      <c r="C2" s="2265">
        <v>1787835</v>
      </c>
      <c r="D2" s="2266"/>
      <c r="E2" s="2266"/>
      <c r="F2" s="2266"/>
      <c r="G2" s="2266"/>
      <c r="H2" s="2266"/>
      <c r="I2" s="2266"/>
      <c r="J2" s="2266"/>
      <c r="K2" s="2266"/>
    </row>
    <row r="3" spans="1:11" ht="15">
      <c r="A3" s="2267" t="s">
        <v>211</v>
      </c>
      <c r="B3" s="2268"/>
      <c r="C3" s="2265" t="s">
        <v>2037</v>
      </c>
      <c r="D3" s="2266"/>
      <c r="E3" s="2266"/>
      <c r="F3" s="2266"/>
      <c r="G3" s="2266"/>
      <c r="H3" s="2266"/>
      <c r="I3" s="2266"/>
      <c r="J3" s="2266"/>
      <c r="K3" s="2266"/>
    </row>
    <row r="4" spans="1:11" ht="15">
      <c r="A4" s="2256" t="s">
        <v>210</v>
      </c>
      <c r="B4" s="2257"/>
      <c r="C4" s="2258" t="s">
        <v>265</v>
      </c>
      <c r="D4" s="2259"/>
      <c r="E4" s="2259"/>
      <c r="F4" s="2259"/>
      <c r="G4" s="2259"/>
      <c r="H4" s="2259"/>
      <c r="I4" s="2259"/>
      <c r="J4" s="2259"/>
      <c r="K4" s="2259"/>
    </row>
    <row r="5" spans="1:11" ht="39" customHeight="1">
      <c r="A5" s="2260" t="s">
        <v>55</v>
      </c>
      <c r="B5" s="2260" t="s">
        <v>256</v>
      </c>
      <c r="C5" s="1935" t="s">
        <v>2038</v>
      </c>
      <c r="D5" s="1935"/>
      <c r="E5" s="1935"/>
      <c r="F5" s="1935" t="s">
        <v>2039</v>
      </c>
      <c r="G5" s="1935"/>
      <c r="H5" s="1935"/>
      <c r="I5" s="1935" t="s">
        <v>90</v>
      </c>
      <c r="J5" s="1935"/>
      <c r="K5" s="2089"/>
    </row>
    <row r="6" spans="1:11" ht="34.5" thickBot="1">
      <c r="A6" s="2261"/>
      <c r="B6" s="2262"/>
      <c r="C6" s="545" t="s">
        <v>368</v>
      </c>
      <c r="D6" s="547" t="s">
        <v>2040</v>
      </c>
      <c r="E6" s="546" t="s">
        <v>2041</v>
      </c>
      <c r="F6" s="545" t="s">
        <v>368</v>
      </c>
      <c r="G6" s="547" t="s">
        <v>2040</v>
      </c>
      <c r="H6" s="546" t="s">
        <v>2041</v>
      </c>
      <c r="I6" s="545" t="s">
        <v>368</v>
      </c>
      <c r="J6" s="547" t="s">
        <v>2040</v>
      </c>
      <c r="K6" s="546" t="s">
        <v>2041</v>
      </c>
    </row>
    <row r="7" spans="1:11" ht="39" thickTop="1">
      <c r="A7" s="548"/>
      <c r="B7" s="549" t="s">
        <v>2042</v>
      </c>
      <c r="C7" s="2247"/>
      <c r="D7" s="2247"/>
      <c r="E7" s="2247"/>
      <c r="F7" s="2247"/>
      <c r="G7" s="2247"/>
      <c r="H7" s="2247"/>
      <c r="I7" s="2247"/>
      <c r="J7" s="2247"/>
      <c r="K7" s="2247"/>
    </row>
    <row r="8" spans="1:11">
      <c r="A8" s="548"/>
      <c r="B8" s="550" t="s">
        <v>257</v>
      </c>
      <c r="C8" s="551">
        <v>25410</v>
      </c>
      <c r="D8" s="551">
        <v>15293</v>
      </c>
      <c r="E8" s="552">
        <f>+D8/C8</f>
        <v>0.60184966548602914</v>
      </c>
      <c r="F8" s="551">
        <v>4840</v>
      </c>
      <c r="G8" s="551">
        <v>2263</v>
      </c>
      <c r="H8" s="552">
        <f>+G8/F8</f>
        <v>0.46756198347107436</v>
      </c>
      <c r="I8" s="553">
        <f>+C8+F8</f>
        <v>30250</v>
      </c>
      <c r="J8" s="554">
        <f>+D8+G8</f>
        <v>17556</v>
      </c>
      <c r="K8" s="555">
        <f>+J8/I8</f>
        <v>0.58036363636363641</v>
      </c>
    </row>
    <row r="9" spans="1:11">
      <c r="A9" s="556"/>
      <c r="B9" s="557" t="s">
        <v>258</v>
      </c>
      <c r="C9" s="558">
        <f>SUM(C10:C78)</f>
        <v>35985</v>
      </c>
      <c r="D9" s="558">
        <f>SUM(D10:D78)</f>
        <v>18719</v>
      </c>
      <c r="E9" s="552">
        <f t="shared" ref="E9:E72" si="0">+D9/C9</f>
        <v>0.52018896762539946</v>
      </c>
      <c r="F9" s="558">
        <f t="shared" ref="F9:J9" si="1">SUM(F10:F78)</f>
        <v>6896</v>
      </c>
      <c r="G9" s="558">
        <f t="shared" si="1"/>
        <v>3091</v>
      </c>
      <c r="H9" s="552">
        <f t="shared" ref="H9:H72" si="2">+G9/F9</f>
        <v>0.4482308584686775</v>
      </c>
      <c r="I9" s="558">
        <f t="shared" si="1"/>
        <v>42881</v>
      </c>
      <c r="J9" s="558">
        <f t="shared" si="1"/>
        <v>21810</v>
      </c>
      <c r="K9" s="555">
        <f t="shared" ref="K9:K72" si="3">+J9/I9</f>
        <v>0.50861686994239874</v>
      </c>
    </row>
    <row r="10" spans="1:11">
      <c r="A10" s="559" t="s">
        <v>2043</v>
      </c>
      <c r="B10" s="560" t="s">
        <v>2044</v>
      </c>
      <c r="C10" s="561">
        <v>230</v>
      </c>
      <c r="D10" s="561">
        <v>89</v>
      </c>
      <c r="E10" s="552">
        <f t="shared" si="0"/>
        <v>0.38695652173913042</v>
      </c>
      <c r="F10" s="561">
        <v>30</v>
      </c>
      <c r="G10" s="561">
        <v>2</v>
      </c>
      <c r="H10" s="552">
        <f t="shared" si="2"/>
        <v>6.6666666666666666E-2</v>
      </c>
      <c r="I10" s="553">
        <f t="shared" ref="I10:J41" si="4">+C10+F10</f>
        <v>260</v>
      </c>
      <c r="J10" s="554">
        <f t="shared" si="4"/>
        <v>91</v>
      </c>
      <c r="K10" s="555">
        <f t="shared" si="3"/>
        <v>0.35</v>
      </c>
    </row>
    <row r="11" spans="1:11">
      <c r="A11" s="562" t="s">
        <v>2045</v>
      </c>
      <c r="B11" s="563" t="s">
        <v>2046</v>
      </c>
      <c r="C11" s="561">
        <v>400</v>
      </c>
      <c r="D11" s="561">
        <v>174</v>
      </c>
      <c r="E11" s="552">
        <f t="shared" si="0"/>
        <v>0.435</v>
      </c>
      <c r="F11" s="561">
        <v>10</v>
      </c>
      <c r="G11" s="561">
        <v>9</v>
      </c>
      <c r="H11" s="552">
        <f t="shared" si="2"/>
        <v>0.9</v>
      </c>
      <c r="I11" s="553">
        <f t="shared" si="4"/>
        <v>410</v>
      </c>
      <c r="J11" s="554">
        <f t="shared" si="4"/>
        <v>183</v>
      </c>
      <c r="K11" s="555">
        <f t="shared" si="3"/>
        <v>0.44634146341463415</v>
      </c>
    </row>
    <row r="12" spans="1:11">
      <c r="A12" s="562" t="s">
        <v>2047</v>
      </c>
      <c r="B12" s="563" t="s">
        <v>2048</v>
      </c>
      <c r="C12" s="561">
        <v>475</v>
      </c>
      <c r="D12" s="561">
        <v>328</v>
      </c>
      <c r="E12" s="552">
        <f t="shared" si="0"/>
        <v>0.69052631578947365</v>
      </c>
      <c r="F12" s="561">
        <v>15</v>
      </c>
      <c r="G12" s="561">
        <v>8</v>
      </c>
      <c r="H12" s="552">
        <f t="shared" si="2"/>
        <v>0.53333333333333333</v>
      </c>
      <c r="I12" s="553">
        <f t="shared" si="4"/>
        <v>490</v>
      </c>
      <c r="J12" s="554">
        <f t="shared" si="4"/>
        <v>336</v>
      </c>
      <c r="K12" s="555">
        <f t="shared" si="3"/>
        <v>0.68571428571428572</v>
      </c>
    </row>
    <row r="13" spans="1:11">
      <c r="A13" s="562" t="s">
        <v>2049</v>
      </c>
      <c r="B13" s="563" t="s">
        <v>2050</v>
      </c>
      <c r="C13" s="561">
        <v>1000</v>
      </c>
      <c r="D13" s="561">
        <v>528</v>
      </c>
      <c r="E13" s="552">
        <f t="shared" si="0"/>
        <v>0.52800000000000002</v>
      </c>
      <c r="F13" s="561">
        <v>25</v>
      </c>
      <c r="G13" s="561">
        <v>8</v>
      </c>
      <c r="H13" s="552">
        <f t="shared" si="2"/>
        <v>0.32</v>
      </c>
      <c r="I13" s="553">
        <f t="shared" si="4"/>
        <v>1025</v>
      </c>
      <c r="J13" s="554">
        <f t="shared" si="4"/>
        <v>536</v>
      </c>
      <c r="K13" s="555">
        <f t="shared" si="3"/>
        <v>0.5229268292682927</v>
      </c>
    </row>
    <row r="14" spans="1:11">
      <c r="A14" s="562" t="s">
        <v>2051</v>
      </c>
      <c r="B14" s="563" t="s">
        <v>2052</v>
      </c>
      <c r="C14" s="561">
        <v>1200</v>
      </c>
      <c r="D14" s="561">
        <v>575</v>
      </c>
      <c r="E14" s="552">
        <f t="shared" si="0"/>
        <v>0.47916666666666669</v>
      </c>
      <c r="F14" s="561">
        <v>60</v>
      </c>
      <c r="G14" s="561">
        <v>18</v>
      </c>
      <c r="H14" s="552">
        <f t="shared" si="2"/>
        <v>0.3</v>
      </c>
      <c r="I14" s="553">
        <f t="shared" si="4"/>
        <v>1260</v>
      </c>
      <c r="J14" s="554">
        <f t="shared" si="4"/>
        <v>593</v>
      </c>
      <c r="K14" s="555">
        <f t="shared" si="3"/>
        <v>0.47063492063492063</v>
      </c>
    </row>
    <row r="15" spans="1:11">
      <c r="A15" s="562" t="s">
        <v>2053</v>
      </c>
      <c r="B15" s="563" t="s">
        <v>2054</v>
      </c>
      <c r="C15" s="561">
        <v>5</v>
      </c>
      <c r="D15" s="561"/>
      <c r="E15" s="552">
        <f t="shared" si="0"/>
        <v>0</v>
      </c>
      <c r="F15" s="561"/>
      <c r="G15" s="561"/>
      <c r="H15" s="552" t="e">
        <f t="shared" si="2"/>
        <v>#DIV/0!</v>
      </c>
      <c r="I15" s="553">
        <f t="shared" si="4"/>
        <v>5</v>
      </c>
      <c r="J15" s="554">
        <f t="shared" si="4"/>
        <v>0</v>
      </c>
      <c r="K15" s="555">
        <f t="shared" si="3"/>
        <v>0</v>
      </c>
    </row>
    <row r="16" spans="1:11">
      <c r="A16" s="564" t="s">
        <v>2055</v>
      </c>
      <c r="B16" s="563" t="s">
        <v>2056</v>
      </c>
      <c r="C16" s="561"/>
      <c r="D16" s="561"/>
      <c r="E16" s="552" t="e">
        <f t="shared" si="0"/>
        <v>#DIV/0!</v>
      </c>
      <c r="F16" s="561"/>
      <c r="G16" s="561"/>
      <c r="H16" s="552" t="e">
        <f t="shared" si="2"/>
        <v>#DIV/0!</v>
      </c>
      <c r="I16" s="553">
        <f t="shared" si="4"/>
        <v>0</v>
      </c>
      <c r="J16" s="554">
        <f t="shared" si="4"/>
        <v>0</v>
      </c>
      <c r="K16" s="555" t="e">
        <f t="shared" si="3"/>
        <v>#DIV/0!</v>
      </c>
    </row>
    <row r="17" spans="1:11" ht="25.5">
      <c r="A17" s="562" t="s">
        <v>2057</v>
      </c>
      <c r="B17" s="563" t="s">
        <v>2058</v>
      </c>
      <c r="C17" s="561">
        <v>10</v>
      </c>
      <c r="D17" s="561">
        <v>1</v>
      </c>
      <c r="E17" s="552">
        <f t="shared" si="0"/>
        <v>0.1</v>
      </c>
      <c r="F17" s="561"/>
      <c r="G17" s="561"/>
      <c r="H17" s="552" t="e">
        <f t="shared" si="2"/>
        <v>#DIV/0!</v>
      </c>
      <c r="I17" s="553">
        <f t="shared" si="4"/>
        <v>10</v>
      </c>
      <c r="J17" s="554">
        <f t="shared" si="4"/>
        <v>1</v>
      </c>
      <c r="K17" s="555">
        <f t="shared" si="3"/>
        <v>0.1</v>
      </c>
    </row>
    <row r="18" spans="1:11">
      <c r="A18" s="562" t="s">
        <v>2059</v>
      </c>
      <c r="B18" s="563" t="s">
        <v>2060</v>
      </c>
      <c r="C18" s="561">
        <v>25</v>
      </c>
      <c r="D18" s="561">
        <v>5</v>
      </c>
      <c r="E18" s="552">
        <f t="shared" si="0"/>
        <v>0.2</v>
      </c>
      <c r="F18" s="561">
        <v>1</v>
      </c>
      <c r="G18" s="561"/>
      <c r="H18" s="552">
        <f t="shared" si="2"/>
        <v>0</v>
      </c>
      <c r="I18" s="553">
        <f t="shared" si="4"/>
        <v>26</v>
      </c>
      <c r="J18" s="554">
        <f t="shared" si="4"/>
        <v>5</v>
      </c>
      <c r="K18" s="555">
        <f t="shared" si="3"/>
        <v>0.19230769230769232</v>
      </c>
    </row>
    <row r="19" spans="1:11">
      <c r="A19" s="562" t="s">
        <v>2061</v>
      </c>
      <c r="B19" s="563" t="s">
        <v>2062</v>
      </c>
      <c r="C19" s="561">
        <v>370</v>
      </c>
      <c r="D19" s="561">
        <v>173</v>
      </c>
      <c r="E19" s="552">
        <f t="shared" si="0"/>
        <v>0.46756756756756757</v>
      </c>
      <c r="F19" s="561">
        <v>200</v>
      </c>
      <c r="G19" s="561">
        <v>78</v>
      </c>
      <c r="H19" s="552">
        <f t="shared" si="2"/>
        <v>0.39</v>
      </c>
      <c r="I19" s="553">
        <f t="shared" si="4"/>
        <v>570</v>
      </c>
      <c r="J19" s="554">
        <f t="shared" si="4"/>
        <v>251</v>
      </c>
      <c r="K19" s="555">
        <f t="shared" si="3"/>
        <v>0.44035087719298244</v>
      </c>
    </row>
    <row r="20" spans="1:11">
      <c r="A20" s="562" t="s">
        <v>2063</v>
      </c>
      <c r="B20" s="563" t="s">
        <v>2064</v>
      </c>
      <c r="C20" s="561">
        <v>1330</v>
      </c>
      <c r="D20" s="561">
        <v>683</v>
      </c>
      <c r="E20" s="552">
        <f t="shared" si="0"/>
        <v>0.51353383458646618</v>
      </c>
      <c r="F20" s="561">
        <v>105</v>
      </c>
      <c r="G20" s="561">
        <v>48</v>
      </c>
      <c r="H20" s="552">
        <f t="shared" si="2"/>
        <v>0.45714285714285713</v>
      </c>
      <c r="I20" s="553">
        <f t="shared" si="4"/>
        <v>1435</v>
      </c>
      <c r="J20" s="554">
        <f t="shared" si="4"/>
        <v>731</v>
      </c>
      <c r="K20" s="555">
        <f t="shared" si="3"/>
        <v>0.50940766550522643</v>
      </c>
    </row>
    <row r="21" spans="1:11">
      <c r="A21" s="562" t="s">
        <v>2065</v>
      </c>
      <c r="B21" s="563" t="s">
        <v>2066</v>
      </c>
      <c r="C21" s="561">
        <v>5</v>
      </c>
      <c r="D21" s="561"/>
      <c r="E21" s="552">
        <f t="shared" si="0"/>
        <v>0</v>
      </c>
      <c r="F21" s="561"/>
      <c r="G21" s="561"/>
      <c r="H21" s="552" t="e">
        <f t="shared" si="2"/>
        <v>#DIV/0!</v>
      </c>
      <c r="I21" s="553">
        <f t="shared" si="4"/>
        <v>5</v>
      </c>
      <c r="J21" s="554">
        <f t="shared" si="4"/>
        <v>0</v>
      </c>
      <c r="K21" s="555">
        <f t="shared" si="3"/>
        <v>0</v>
      </c>
    </row>
    <row r="22" spans="1:11">
      <c r="A22" s="562" t="s">
        <v>2067</v>
      </c>
      <c r="B22" s="563" t="s">
        <v>2068</v>
      </c>
      <c r="C22" s="561">
        <v>790</v>
      </c>
      <c r="D22" s="561">
        <v>451</v>
      </c>
      <c r="E22" s="552">
        <f t="shared" si="0"/>
        <v>0.57088607594936713</v>
      </c>
      <c r="F22" s="561">
        <v>35</v>
      </c>
      <c r="G22" s="561">
        <v>28</v>
      </c>
      <c r="H22" s="552">
        <f t="shared" si="2"/>
        <v>0.8</v>
      </c>
      <c r="I22" s="553">
        <f t="shared" si="4"/>
        <v>825</v>
      </c>
      <c r="J22" s="554">
        <f t="shared" si="4"/>
        <v>479</v>
      </c>
      <c r="K22" s="555">
        <f t="shared" si="3"/>
        <v>0.58060606060606057</v>
      </c>
    </row>
    <row r="23" spans="1:11">
      <c r="A23" s="562" t="s">
        <v>2069</v>
      </c>
      <c r="B23" s="563" t="s">
        <v>2070</v>
      </c>
      <c r="C23" s="561">
        <v>1000</v>
      </c>
      <c r="D23" s="561">
        <v>397</v>
      </c>
      <c r="E23" s="552">
        <f t="shared" si="0"/>
        <v>0.39700000000000002</v>
      </c>
      <c r="F23" s="561">
        <v>75</v>
      </c>
      <c r="G23" s="561">
        <v>21</v>
      </c>
      <c r="H23" s="552">
        <f t="shared" si="2"/>
        <v>0.28000000000000003</v>
      </c>
      <c r="I23" s="553">
        <f t="shared" si="4"/>
        <v>1075</v>
      </c>
      <c r="J23" s="554">
        <f t="shared" si="4"/>
        <v>418</v>
      </c>
      <c r="K23" s="555">
        <f t="shared" si="3"/>
        <v>0.38883720930232557</v>
      </c>
    </row>
    <row r="24" spans="1:11">
      <c r="A24" s="562" t="s">
        <v>2071</v>
      </c>
      <c r="B24" s="565" t="s">
        <v>2072</v>
      </c>
      <c r="C24" s="561">
        <v>10</v>
      </c>
      <c r="D24" s="561">
        <v>1</v>
      </c>
      <c r="E24" s="552">
        <f t="shared" si="0"/>
        <v>0.1</v>
      </c>
      <c r="F24" s="561">
        <v>1</v>
      </c>
      <c r="G24" s="561">
        <v>2</v>
      </c>
      <c r="H24" s="552">
        <f t="shared" si="2"/>
        <v>2</v>
      </c>
      <c r="I24" s="553">
        <f t="shared" si="4"/>
        <v>11</v>
      </c>
      <c r="J24" s="554">
        <f t="shared" si="4"/>
        <v>3</v>
      </c>
      <c r="K24" s="555">
        <f t="shared" si="3"/>
        <v>0.27272727272727271</v>
      </c>
    </row>
    <row r="25" spans="1:11">
      <c r="A25" s="562" t="s">
        <v>2073</v>
      </c>
      <c r="B25" s="566" t="s">
        <v>2074</v>
      </c>
      <c r="C25" s="561">
        <v>5</v>
      </c>
      <c r="D25" s="561">
        <v>1</v>
      </c>
      <c r="E25" s="552">
        <f t="shared" si="0"/>
        <v>0.2</v>
      </c>
      <c r="F25" s="561"/>
      <c r="G25" s="561">
        <v>0</v>
      </c>
      <c r="H25" s="552" t="e">
        <f t="shared" si="2"/>
        <v>#DIV/0!</v>
      </c>
      <c r="I25" s="553">
        <f t="shared" si="4"/>
        <v>5</v>
      </c>
      <c r="J25" s="554">
        <f t="shared" si="4"/>
        <v>1</v>
      </c>
      <c r="K25" s="555">
        <f t="shared" si="3"/>
        <v>0.2</v>
      </c>
    </row>
    <row r="26" spans="1:11">
      <c r="A26" s="562" t="s">
        <v>2075</v>
      </c>
      <c r="B26" s="565" t="s">
        <v>2076</v>
      </c>
      <c r="C26" s="561">
        <v>670</v>
      </c>
      <c r="D26" s="561">
        <v>340</v>
      </c>
      <c r="E26" s="552">
        <f t="shared" si="0"/>
        <v>0.5074626865671642</v>
      </c>
      <c r="F26" s="561">
        <v>115</v>
      </c>
      <c r="G26" s="561">
        <v>66</v>
      </c>
      <c r="H26" s="552">
        <f t="shared" si="2"/>
        <v>0.57391304347826089</v>
      </c>
      <c r="I26" s="553">
        <f t="shared" si="4"/>
        <v>785</v>
      </c>
      <c r="J26" s="554">
        <f t="shared" si="4"/>
        <v>406</v>
      </c>
      <c r="K26" s="555">
        <f t="shared" si="3"/>
        <v>0.51719745222929936</v>
      </c>
    </row>
    <row r="27" spans="1:11">
      <c r="A27" s="562" t="s">
        <v>2077</v>
      </c>
      <c r="B27" s="565" t="s">
        <v>2078</v>
      </c>
      <c r="C27" s="561">
        <v>5</v>
      </c>
      <c r="D27" s="561"/>
      <c r="E27" s="552">
        <f t="shared" si="0"/>
        <v>0</v>
      </c>
      <c r="F27" s="561"/>
      <c r="G27" s="561"/>
      <c r="H27" s="552" t="e">
        <f t="shared" si="2"/>
        <v>#DIV/0!</v>
      </c>
      <c r="I27" s="553">
        <f t="shared" si="4"/>
        <v>5</v>
      </c>
      <c r="J27" s="554">
        <f t="shared" si="4"/>
        <v>0</v>
      </c>
      <c r="K27" s="555">
        <f t="shared" si="3"/>
        <v>0</v>
      </c>
    </row>
    <row r="28" spans="1:11">
      <c r="A28" s="562" t="s">
        <v>2079</v>
      </c>
      <c r="B28" s="565" t="s">
        <v>2080</v>
      </c>
      <c r="C28" s="561">
        <v>30</v>
      </c>
      <c r="D28" s="561">
        <v>1</v>
      </c>
      <c r="E28" s="552">
        <f t="shared" si="0"/>
        <v>3.3333333333333333E-2</v>
      </c>
      <c r="F28" s="561">
        <v>5</v>
      </c>
      <c r="G28" s="561"/>
      <c r="H28" s="552">
        <f t="shared" si="2"/>
        <v>0</v>
      </c>
      <c r="I28" s="553">
        <f t="shared" si="4"/>
        <v>35</v>
      </c>
      <c r="J28" s="554">
        <f t="shared" si="4"/>
        <v>1</v>
      </c>
      <c r="K28" s="555">
        <f t="shared" si="3"/>
        <v>2.8571428571428571E-2</v>
      </c>
    </row>
    <row r="29" spans="1:11">
      <c r="A29" s="562" t="s">
        <v>2081</v>
      </c>
      <c r="B29" s="565" t="s">
        <v>2082</v>
      </c>
      <c r="C29" s="561">
        <v>950</v>
      </c>
      <c r="D29" s="561">
        <v>400</v>
      </c>
      <c r="E29" s="552">
        <f t="shared" si="0"/>
        <v>0.42105263157894735</v>
      </c>
      <c r="F29" s="561">
        <v>55</v>
      </c>
      <c r="G29" s="561">
        <v>13</v>
      </c>
      <c r="H29" s="552">
        <f t="shared" si="2"/>
        <v>0.23636363636363636</v>
      </c>
      <c r="I29" s="553">
        <f t="shared" si="4"/>
        <v>1005</v>
      </c>
      <c r="J29" s="554">
        <f t="shared" si="4"/>
        <v>413</v>
      </c>
      <c r="K29" s="555">
        <f t="shared" si="3"/>
        <v>0.4109452736318408</v>
      </c>
    </row>
    <row r="30" spans="1:11">
      <c r="A30" s="562" t="s">
        <v>2083</v>
      </c>
      <c r="B30" s="565" t="s">
        <v>2084</v>
      </c>
      <c r="C30" s="561">
        <v>1</v>
      </c>
      <c r="D30" s="561"/>
      <c r="E30" s="552">
        <f t="shared" si="0"/>
        <v>0</v>
      </c>
      <c r="F30" s="561"/>
      <c r="G30" s="561"/>
      <c r="H30" s="552" t="e">
        <f t="shared" si="2"/>
        <v>#DIV/0!</v>
      </c>
      <c r="I30" s="553">
        <f t="shared" si="4"/>
        <v>1</v>
      </c>
      <c r="J30" s="554">
        <f t="shared" si="4"/>
        <v>0</v>
      </c>
      <c r="K30" s="555">
        <f t="shared" si="3"/>
        <v>0</v>
      </c>
    </row>
    <row r="31" spans="1:11">
      <c r="A31" s="562" t="s">
        <v>2085</v>
      </c>
      <c r="B31" s="565" t="s">
        <v>2086</v>
      </c>
      <c r="C31" s="561">
        <v>335</v>
      </c>
      <c r="D31" s="561">
        <v>154</v>
      </c>
      <c r="E31" s="552">
        <f t="shared" si="0"/>
        <v>0.45970149253731341</v>
      </c>
      <c r="F31" s="561">
        <v>260</v>
      </c>
      <c r="G31" s="561">
        <v>83</v>
      </c>
      <c r="H31" s="552">
        <f t="shared" si="2"/>
        <v>0.31923076923076921</v>
      </c>
      <c r="I31" s="553">
        <f t="shared" si="4"/>
        <v>595</v>
      </c>
      <c r="J31" s="554">
        <f t="shared" si="4"/>
        <v>237</v>
      </c>
      <c r="K31" s="555">
        <f t="shared" si="3"/>
        <v>0.39831932773109241</v>
      </c>
    </row>
    <row r="32" spans="1:11">
      <c r="A32" s="562" t="s">
        <v>2087</v>
      </c>
      <c r="B32" s="565" t="s">
        <v>2088</v>
      </c>
      <c r="C32" s="561">
        <v>1900</v>
      </c>
      <c r="D32" s="561">
        <v>986</v>
      </c>
      <c r="E32" s="552">
        <f t="shared" si="0"/>
        <v>0.5189473684210526</v>
      </c>
      <c r="F32" s="561">
        <v>165</v>
      </c>
      <c r="G32" s="561">
        <v>77</v>
      </c>
      <c r="H32" s="552">
        <f t="shared" si="2"/>
        <v>0.46666666666666667</v>
      </c>
      <c r="I32" s="553">
        <f t="shared" si="4"/>
        <v>2065</v>
      </c>
      <c r="J32" s="554">
        <f t="shared" si="4"/>
        <v>1063</v>
      </c>
      <c r="K32" s="555">
        <f t="shared" si="3"/>
        <v>0.51476997578692496</v>
      </c>
    </row>
    <row r="33" spans="1:11" ht="25.5">
      <c r="A33" s="562" t="s">
        <v>2089</v>
      </c>
      <c r="B33" s="567" t="s">
        <v>2090</v>
      </c>
      <c r="C33" s="561"/>
      <c r="D33" s="561"/>
      <c r="E33" s="552" t="e">
        <f t="shared" si="0"/>
        <v>#DIV/0!</v>
      </c>
      <c r="F33" s="561">
        <v>1</v>
      </c>
      <c r="G33" s="561">
        <v>4</v>
      </c>
      <c r="H33" s="552">
        <f t="shared" si="2"/>
        <v>4</v>
      </c>
      <c r="I33" s="553">
        <f t="shared" si="4"/>
        <v>1</v>
      </c>
      <c r="J33" s="554">
        <f t="shared" si="4"/>
        <v>4</v>
      </c>
      <c r="K33" s="555">
        <f t="shared" si="3"/>
        <v>4</v>
      </c>
    </row>
    <row r="34" spans="1:11">
      <c r="A34" s="562" t="s">
        <v>2091</v>
      </c>
      <c r="B34" s="563" t="s">
        <v>2092</v>
      </c>
      <c r="C34" s="561">
        <v>1290</v>
      </c>
      <c r="D34" s="561">
        <v>550</v>
      </c>
      <c r="E34" s="552">
        <f t="shared" si="0"/>
        <v>0.4263565891472868</v>
      </c>
      <c r="F34" s="561">
        <v>95</v>
      </c>
      <c r="G34" s="561">
        <v>29</v>
      </c>
      <c r="H34" s="552">
        <f t="shared" si="2"/>
        <v>0.30526315789473685</v>
      </c>
      <c r="I34" s="553">
        <f t="shared" si="4"/>
        <v>1385</v>
      </c>
      <c r="J34" s="554">
        <f t="shared" si="4"/>
        <v>579</v>
      </c>
      <c r="K34" s="555">
        <f t="shared" si="3"/>
        <v>0.41805054151624549</v>
      </c>
    </row>
    <row r="35" spans="1:11">
      <c r="A35" s="562" t="s">
        <v>2093</v>
      </c>
      <c r="B35" s="563" t="s">
        <v>2094</v>
      </c>
      <c r="C35" s="561">
        <v>615</v>
      </c>
      <c r="D35" s="561">
        <v>257</v>
      </c>
      <c r="E35" s="552">
        <f t="shared" si="0"/>
        <v>0.41788617886178864</v>
      </c>
      <c r="F35" s="561">
        <v>60</v>
      </c>
      <c r="G35" s="561">
        <v>30</v>
      </c>
      <c r="H35" s="552">
        <f t="shared" si="2"/>
        <v>0.5</v>
      </c>
      <c r="I35" s="553">
        <f t="shared" si="4"/>
        <v>675</v>
      </c>
      <c r="J35" s="554">
        <f t="shared" si="4"/>
        <v>287</v>
      </c>
      <c r="K35" s="555">
        <f t="shared" si="3"/>
        <v>0.42518518518518517</v>
      </c>
    </row>
    <row r="36" spans="1:11">
      <c r="A36" s="562" t="s">
        <v>2095</v>
      </c>
      <c r="B36" s="563" t="s">
        <v>2096</v>
      </c>
      <c r="C36" s="561">
        <v>140</v>
      </c>
      <c r="D36" s="561">
        <v>66</v>
      </c>
      <c r="E36" s="552">
        <f t="shared" si="0"/>
        <v>0.47142857142857142</v>
      </c>
      <c r="F36" s="561">
        <v>15</v>
      </c>
      <c r="G36" s="561">
        <v>9</v>
      </c>
      <c r="H36" s="552">
        <f t="shared" si="2"/>
        <v>0.6</v>
      </c>
      <c r="I36" s="553">
        <f t="shared" si="4"/>
        <v>155</v>
      </c>
      <c r="J36" s="554">
        <f t="shared" si="4"/>
        <v>75</v>
      </c>
      <c r="K36" s="555">
        <f t="shared" si="3"/>
        <v>0.4838709677419355</v>
      </c>
    </row>
    <row r="37" spans="1:11" ht="25.5">
      <c r="A37" s="562" t="s">
        <v>2097</v>
      </c>
      <c r="B37" s="563" t="s">
        <v>2098</v>
      </c>
      <c r="C37" s="561">
        <v>3</v>
      </c>
      <c r="D37" s="561"/>
      <c r="E37" s="552">
        <f t="shared" si="0"/>
        <v>0</v>
      </c>
      <c r="F37" s="561">
        <v>1</v>
      </c>
      <c r="G37" s="561"/>
      <c r="H37" s="552">
        <f t="shared" si="2"/>
        <v>0</v>
      </c>
      <c r="I37" s="553">
        <f t="shared" si="4"/>
        <v>4</v>
      </c>
      <c r="J37" s="554">
        <f t="shared" si="4"/>
        <v>0</v>
      </c>
      <c r="K37" s="555">
        <f t="shared" si="3"/>
        <v>0</v>
      </c>
    </row>
    <row r="38" spans="1:11" ht="25.5">
      <c r="A38" s="562" t="s">
        <v>2099</v>
      </c>
      <c r="B38" s="563" t="s">
        <v>2100</v>
      </c>
      <c r="C38" s="561">
        <v>55</v>
      </c>
      <c r="D38" s="561">
        <v>9</v>
      </c>
      <c r="E38" s="552">
        <f t="shared" si="0"/>
        <v>0.16363636363636364</v>
      </c>
      <c r="F38" s="561">
        <v>10</v>
      </c>
      <c r="G38" s="561">
        <v>3</v>
      </c>
      <c r="H38" s="552">
        <f t="shared" si="2"/>
        <v>0.3</v>
      </c>
      <c r="I38" s="553">
        <f t="shared" si="4"/>
        <v>65</v>
      </c>
      <c r="J38" s="554">
        <f t="shared" si="4"/>
        <v>12</v>
      </c>
      <c r="K38" s="555">
        <f t="shared" si="3"/>
        <v>0.18461538461538463</v>
      </c>
    </row>
    <row r="39" spans="1:11">
      <c r="A39" s="562" t="s">
        <v>2101</v>
      </c>
      <c r="B39" s="563" t="s">
        <v>2102</v>
      </c>
      <c r="C39" s="561">
        <v>50</v>
      </c>
      <c r="D39" s="561">
        <v>13</v>
      </c>
      <c r="E39" s="552">
        <f t="shared" si="0"/>
        <v>0.26</v>
      </c>
      <c r="F39" s="561">
        <v>25</v>
      </c>
      <c r="G39" s="561">
        <v>6</v>
      </c>
      <c r="H39" s="552">
        <f t="shared" si="2"/>
        <v>0.24</v>
      </c>
      <c r="I39" s="553">
        <f t="shared" si="4"/>
        <v>75</v>
      </c>
      <c r="J39" s="554">
        <f t="shared" si="4"/>
        <v>19</v>
      </c>
      <c r="K39" s="555">
        <f t="shared" si="3"/>
        <v>0.25333333333333335</v>
      </c>
    </row>
    <row r="40" spans="1:11">
      <c r="A40" s="562" t="s">
        <v>2103</v>
      </c>
      <c r="B40" s="563" t="s">
        <v>2104</v>
      </c>
      <c r="C40" s="561">
        <v>195</v>
      </c>
      <c r="D40" s="561">
        <v>83</v>
      </c>
      <c r="E40" s="552">
        <f t="shared" si="0"/>
        <v>0.42564102564102563</v>
      </c>
      <c r="F40" s="561">
        <v>10</v>
      </c>
      <c r="G40" s="561">
        <v>2</v>
      </c>
      <c r="H40" s="552">
        <f t="shared" si="2"/>
        <v>0.2</v>
      </c>
      <c r="I40" s="553">
        <f t="shared" si="4"/>
        <v>205</v>
      </c>
      <c r="J40" s="554">
        <f t="shared" si="4"/>
        <v>85</v>
      </c>
      <c r="K40" s="555">
        <f t="shared" si="3"/>
        <v>0.41463414634146339</v>
      </c>
    </row>
    <row r="41" spans="1:11">
      <c r="A41" s="562" t="s">
        <v>2105</v>
      </c>
      <c r="B41" s="563" t="s">
        <v>2106</v>
      </c>
      <c r="C41" s="561"/>
      <c r="D41" s="561"/>
      <c r="E41" s="552" t="e">
        <f t="shared" si="0"/>
        <v>#DIV/0!</v>
      </c>
      <c r="F41" s="561"/>
      <c r="G41" s="561"/>
      <c r="H41" s="552" t="e">
        <f t="shared" si="2"/>
        <v>#DIV/0!</v>
      </c>
      <c r="I41" s="553">
        <f t="shared" si="4"/>
        <v>0</v>
      </c>
      <c r="J41" s="554">
        <f t="shared" si="4"/>
        <v>0</v>
      </c>
      <c r="K41" s="555" t="e">
        <f t="shared" si="3"/>
        <v>#DIV/0!</v>
      </c>
    </row>
    <row r="42" spans="1:11" ht="25.5">
      <c r="A42" s="562" t="s">
        <v>2107</v>
      </c>
      <c r="B42" s="563" t="s">
        <v>2108</v>
      </c>
      <c r="C42" s="561"/>
      <c r="D42" s="561"/>
      <c r="E42" s="552" t="e">
        <f t="shared" si="0"/>
        <v>#DIV/0!</v>
      </c>
      <c r="F42" s="561"/>
      <c r="G42" s="561"/>
      <c r="H42" s="552" t="e">
        <f t="shared" si="2"/>
        <v>#DIV/0!</v>
      </c>
      <c r="I42" s="553">
        <f t="shared" ref="I42:J73" si="5">+C42+F42</f>
        <v>0</v>
      </c>
      <c r="J42" s="554">
        <f t="shared" si="5"/>
        <v>0</v>
      </c>
      <c r="K42" s="555" t="e">
        <f t="shared" si="3"/>
        <v>#DIV/0!</v>
      </c>
    </row>
    <row r="43" spans="1:11">
      <c r="A43" s="562" t="s">
        <v>2109</v>
      </c>
      <c r="B43" s="563" t="s">
        <v>2110</v>
      </c>
      <c r="C43" s="561">
        <v>930</v>
      </c>
      <c r="D43" s="561">
        <v>450</v>
      </c>
      <c r="E43" s="552">
        <f t="shared" si="0"/>
        <v>0.4838709677419355</v>
      </c>
      <c r="F43" s="561">
        <v>50</v>
      </c>
      <c r="G43" s="561">
        <v>11</v>
      </c>
      <c r="H43" s="552">
        <f t="shared" si="2"/>
        <v>0.22</v>
      </c>
      <c r="I43" s="553">
        <f t="shared" si="5"/>
        <v>980</v>
      </c>
      <c r="J43" s="554">
        <f t="shared" si="5"/>
        <v>461</v>
      </c>
      <c r="K43" s="555">
        <f t="shared" si="3"/>
        <v>0.4704081632653061</v>
      </c>
    </row>
    <row r="44" spans="1:11">
      <c r="A44" s="562" t="s">
        <v>2111</v>
      </c>
      <c r="B44" s="563" t="s">
        <v>2112</v>
      </c>
      <c r="C44" s="561">
        <v>350</v>
      </c>
      <c r="D44" s="561">
        <v>152</v>
      </c>
      <c r="E44" s="552">
        <f t="shared" si="0"/>
        <v>0.43428571428571427</v>
      </c>
      <c r="F44" s="561">
        <v>45</v>
      </c>
      <c r="G44" s="561">
        <v>13</v>
      </c>
      <c r="H44" s="552">
        <f t="shared" si="2"/>
        <v>0.28888888888888886</v>
      </c>
      <c r="I44" s="553">
        <f t="shared" si="5"/>
        <v>395</v>
      </c>
      <c r="J44" s="554">
        <f t="shared" si="5"/>
        <v>165</v>
      </c>
      <c r="K44" s="555">
        <f t="shared" si="3"/>
        <v>0.41772151898734178</v>
      </c>
    </row>
    <row r="45" spans="1:11" ht="25.5">
      <c r="A45" s="562" t="s">
        <v>2113</v>
      </c>
      <c r="B45" s="563" t="s">
        <v>2114</v>
      </c>
      <c r="C45" s="561">
        <v>2000</v>
      </c>
      <c r="D45" s="561">
        <v>1009</v>
      </c>
      <c r="E45" s="552">
        <f t="shared" si="0"/>
        <v>0.50449999999999995</v>
      </c>
      <c r="F45" s="561">
        <v>90</v>
      </c>
      <c r="G45" s="561">
        <v>30</v>
      </c>
      <c r="H45" s="552">
        <f t="shared" si="2"/>
        <v>0.33333333333333331</v>
      </c>
      <c r="I45" s="553">
        <f t="shared" si="5"/>
        <v>2090</v>
      </c>
      <c r="J45" s="554">
        <f t="shared" si="5"/>
        <v>1039</v>
      </c>
      <c r="K45" s="555">
        <f t="shared" si="3"/>
        <v>0.49712918660287081</v>
      </c>
    </row>
    <row r="46" spans="1:11">
      <c r="A46" s="562" t="s">
        <v>2115</v>
      </c>
      <c r="B46" s="563" t="s">
        <v>2116</v>
      </c>
      <c r="C46" s="561"/>
      <c r="D46" s="561"/>
      <c r="E46" s="552" t="e">
        <f t="shared" si="0"/>
        <v>#DIV/0!</v>
      </c>
      <c r="F46" s="561">
        <v>1</v>
      </c>
      <c r="G46" s="561"/>
      <c r="H46" s="552">
        <f t="shared" si="2"/>
        <v>0</v>
      </c>
      <c r="I46" s="553">
        <f t="shared" si="5"/>
        <v>1</v>
      </c>
      <c r="J46" s="554">
        <f t="shared" si="5"/>
        <v>0</v>
      </c>
      <c r="K46" s="555">
        <f t="shared" si="3"/>
        <v>0</v>
      </c>
    </row>
    <row r="47" spans="1:11" ht="25.5">
      <c r="A47" s="562" t="s">
        <v>2117</v>
      </c>
      <c r="B47" s="563" t="s">
        <v>2118</v>
      </c>
      <c r="C47" s="561"/>
      <c r="D47" s="561"/>
      <c r="E47" s="552" t="e">
        <f t="shared" si="0"/>
        <v>#DIV/0!</v>
      </c>
      <c r="F47" s="561"/>
      <c r="G47" s="561"/>
      <c r="H47" s="552" t="e">
        <f t="shared" si="2"/>
        <v>#DIV/0!</v>
      </c>
      <c r="I47" s="553">
        <f t="shared" si="5"/>
        <v>0</v>
      </c>
      <c r="J47" s="554">
        <f t="shared" si="5"/>
        <v>0</v>
      </c>
      <c r="K47" s="555" t="e">
        <f t="shared" si="3"/>
        <v>#DIV/0!</v>
      </c>
    </row>
    <row r="48" spans="1:11">
      <c r="A48" s="562" t="s">
        <v>2119</v>
      </c>
      <c r="B48" s="563" t="s">
        <v>2120</v>
      </c>
      <c r="C48" s="561">
        <v>1</v>
      </c>
      <c r="D48" s="561">
        <v>2</v>
      </c>
      <c r="E48" s="552">
        <f t="shared" si="0"/>
        <v>2</v>
      </c>
      <c r="F48" s="561"/>
      <c r="G48" s="561"/>
      <c r="H48" s="552" t="e">
        <f t="shared" si="2"/>
        <v>#DIV/0!</v>
      </c>
      <c r="I48" s="553">
        <f t="shared" si="5"/>
        <v>1</v>
      </c>
      <c r="J48" s="554">
        <f t="shared" si="5"/>
        <v>2</v>
      </c>
      <c r="K48" s="555">
        <f t="shared" si="3"/>
        <v>2</v>
      </c>
    </row>
    <row r="49" spans="1:11">
      <c r="A49" s="562" t="s">
        <v>2121</v>
      </c>
      <c r="B49" s="563" t="s">
        <v>2122</v>
      </c>
      <c r="C49" s="561">
        <v>380</v>
      </c>
      <c r="D49" s="561">
        <v>192</v>
      </c>
      <c r="E49" s="552">
        <f t="shared" si="0"/>
        <v>0.50526315789473686</v>
      </c>
      <c r="F49" s="561">
        <v>40</v>
      </c>
      <c r="G49" s="561">
        <v>8</v>
      </c>
      <c r="H49" s="552">
        <f t="shared" si="2"/>
        <v>0.2</v>
      </c>
      <c r="I49" s="553">
        <f t="shared" si="5"/>
        <v>420</v>
      </c>
      <c r="J49" s="554">
        <f t="shared" si="5"/>
        <v>200</v>
      </c>
      <c r="K49" s="555">
        <f t="shared" si="3"/>
        <v>0.47619047619047616</v>
      </c>
    </row>
    <row r="50" spans="1:11" ht="25.5">
      <c r="A50" s="562" t="s">
        <v>2123</v>
      </c>
      <c r="B50" s="563" t="s">
        <v>2124</v>
      </c>
      <c r="C50" s="561"/>
      <c r="D50" s="561"/>
      <c r="E50" s="552" t="e">
        <f t="shared" si="0"/>
        <v>#DIV/0!</v>
      </c>
      <c r="F50" s="561"/>
      <c r="G50" s="561"/>
      <c r="H50" s="552" t="e">
        <f t="shared" si="2"/>
        <v>#DIV/0!</v>
      </c>
      <c r="I50" s="553">
        <f t="shared" si="5"/>
        <v>0</v>
      </c>
      <c r="J50" s="554">
        <f t="shared" si="5"/>
        <v>0</v>
      </c>
      <c r="K50" s="555" t="e">
        <f t="shared" si="3"/>
        <v>#DIV/0!</v>
      </c>
    </row>
    <row r="51" spans="1:11">
      <c r="A51" s="562" t="s">
        <v>2125</v>
      </c>
      <c r="B51" s="563" t="s">
        <v>2126</v>
      </c>
      <c r="C51" s="561"/>
      <c r="D51" s="561"/>
      <c r="E51" s="552" t="e">
        <f t="shared" si="0"/>
        <v>#DIV/0!</v>
      </c>
      <c r="F51" s="561"/>
      <c r="G51" s="561"/>
      <c r="H51" s="552" t="e">
        <f t="shared" si="2"/>
        <v>#DIV/0!</v>
      </c>
      <c r="I51" s="553">
        <f t="shared" si="5"/>
        <v>0</v>
      </c>
      <c r="J51" s="554">
        <f t="shared" si="5"/>
        <v>0</v>
      </c>
      <c r="K51" s="555" t="e">
        <f t="shared" si="3"/>
        <v>#DIV/0!</v>
      </c>
    </row>
    <row r="52" spans="1:11">
      <c r="A52" s="562" t="s">
        <v>2127</v>
      </c>
      <c r="B52" s="563" t="s">
        <v>2128</v>
      </c>
      <c r="C52" s="561">
        <v>14200</v>
      </c>
      <c r="D52" s="561">
        <v>8105</v>
      </c>
      <c r="E52" s="552">
        <f t="shared" si="0"/>
        <v>0.5707746478873239</v>
      </c>
      <c r="F52" s="561">
        <v>4360</v>
      </c>
      <c r="G52" s="561">
        <v>2083</v>
      </c>
      <c r="H52" s="552">
        <f t="shared" si="2"/>
        <v>0.47775229357798166</v>
      </c>
      <c r="I52" s="553">
        <f t="shared" si="5"/>
        <v>18560</v>
      </c>
      <c r="J52" s="554">
        <f t="shared" si="5"/>
        <v>10188</v>
      </c>
      <c r="K52" s="555">
        <f t="shared" si="3"/>
        <v>0.54892241379310347</v>
      </c>
    </row>
    <row r="53" spans="1:11" ht="25.5">
      <c r="A53" s="562" t="s">
        <v>2129</v>
      </c>
      <c r="B53" s="563" t="s">
        <v>2130</v>
      </c>
      <c r="C53" s="561">
        <v>50</v>
      </c>
      <c r="D53" s="561">
        <v>20</v>
      </c>
      <c r="E53" s="552">
        <f t="shared" si="0"/>
        <v>0.4</v>
      </c>
      <c r="F53" s="561">
        <v>5</v>
      </c>
      <c r="G53" s="561"/>
      <c r="H53" s="552">
        <f t="shared" si="2"/>
        <v>0</v>
      </c>
      <c r="I53" s="553">
        <f t="shared" si="5"/>
        <v>55</v>
      </c>
      <c r="J53" s="554">
        <f t="shared" si="5"/>
        <v>20</v>
      </c>
      <c r="K53" s="555">
        <f t="shared" si="3"/>
        <v>0.36363636363636365</v>
      </c>
    </row>
    <row r="54" spans="1:11">
      <c r="A54" s="562" t="s">
        <v>2131</v>
      </c>
      <c r="B54" s="563" t="s">
        <v>2132</v>
      </c>
      <c r="C54" s="561">
        <v>95</v>
      </c>
      <c r="D54" s="561">
        <v>26</v>
      </c>
      <c r="E54" s="552">
        <f t="shared" si="0"/>
        <v>0.27368421052631581</v>
      </c>
      <c r="F54" s="561">
        <v>5</v>
      </c>
      <c r="G54" s="561">
        <v>4</v>
      </c>
      <c r="H54" s="552">
        <f t="shared" si="2"/>
        <v>0.8</v>
      </c>
      <c r="I54" s="553">
        <f t="shared" si="5"/>
        <v>100</v>
      </c>
      <c r="J54" s="554">
        <f t="shared" si="5"/>
        <v>30</v>
      </c>
      <c r="K54" s="555">
        <f t="shared" si="3"/>
        <v>0.3</v>
      </c>
    </row>
    <row r="55" spans="1:11">
      <c r="A55" s="562" t="s">
        <v>2133</v>
      </c>
      <c r="B55" s="563" t="s">
        <v>2134</v>
      </c>
      <c r="C55" s="561">
        <v>3</v>
      </c>
      <c r="D55" s="561">
        <v>4</v>
      </c>
      <c r="E55" s="552">
        <f t="shared" si="0"/>
        <v>1.3333333333333333</v>
      </c>
      <c r="F55" s="561"/>
      <c r="G55" s="561"/>
      <c r="H55" s="552" t="e">
        <f t="shared" si="2"/>
        <v>#DIV/0!</v>
      </c>
      <c r="I55" s="553">
        <f t="shared" si="5"/>
        <v>3</v>
      </c>
      <c r="J55" s="554">
        <f t="shared" si="5"/>
        <v>4</v>
      </c>
      <c r="K55" s="555">
        <f t="shared" si="3"/>
        <v>1.3333333333333333</v>
      </c>
    </row>
    <row r="56" spans="1:11">
      <c r="A56" s="562" t="s">
        <v>2135</v>
      </c>
      <c r="B56" s="568" t="s">
        <v>2136</v>
      </c>
      <c r="C56" s="561">
        <v>1130</v>
      </c>
      <c r="D56" s="561">
        <v>527</v>
      </c>
      <c r="E56" s="552">
        <f t="shared" si="0"/>
        <v>0.46637168141592922</v>
      </c>
      <c r="F56" s="561">
        <v>95</v>
      </c>
      <c r="G56" s="561">
        <v>35</v>
      </c>
      <c r="H56" s="552">
        <f t="shared" si="2"/>
        <v>0.36842105263157893</v>
      </c>
      <c r="I56" s="553">
        <f t="shared" si="5"/>
        <v>1225</v>
      </c>
      <c r="J56" s="554">
        <f t="shared" si="5"/>
        <v>562</v>
      </c>
      <c r="K56" s="555">
        <f t="shared" si="3"/>
        <v>0.45877551020408164</v>
      </c>
    </row>
    <row r="57" spans="1:11" ht="25.5">
      <c r="A57" s="562" t="s">
        <v>2137</v>
      </c>
      <c r="B57" s="563" t="s">
        <v>2138</v>
      </c>
      <c r="C57" s="561">
        <v>1</v>
      </c>
      <c r="D57" s="561"/>
      <c r="E57" s="552">
        <f t="shared" si="0"/>
        <v>0</v>
      </c>
      <c r="F57" s="561"/>
      <c r="G57" s="561"/>
      <c r="H57" s="552" t="e">
        <f t="shared" si="2"/>
        <v>#DIV/0!</v>
      </c>
      <c r="I57" s="553">
        <f t="shared" si="5"/>
        <v>1</v>
      </c>
      <c r="J57" s="554">
        <f t="shared" si="5"/>
        <v>0</v>
      </c>
      <c r="K57" s="555">
        <f t="shared" si="3"/>
        <v>0</v>
      </c>
    </row>
    <row r="58" spans="1:11">
      <c r="A58" s="562" t="s">
        <v>2139</v>
      </c>
      <c r="B58" s="563" t="s">
        <v>2140</v>
      </c>
      <c r="C58" s="561">
        <v>1280</v>
      </c>
      <c r="D58" s="561">
        <v>590</v>
      </c>
      <c r="E58" s="552">
        <f t="shared" si="0"/>
        <v>0.4609375</v>
      </c>
      <c r="F58" s="561">
        <v>215</v>
      </c>
      <c r="G58" s="561">
        <v>97</v>
      </c>
      <c r="H58" s="552">
        <f t="shared" si="2"/>
        <v>0.4511627906976744</v>
      </c>
      <c r="I58" s="553">
        <f t="shared" si="5"/>
        <v>1495</v>
      </c>
      <c r="J58" s="554">
        <f t="shared" si="5"/>
        <v>687</v>
      </c>
      <c r="K58" s="555">
        <f t="shared" si="3"/>
        <v>0.45953177257525085</v>
      </c>
    </row>
    <row r="59" spans="1:11">
      <c r="A59" s="562" t="s">
        <v>2141</v>
      </c>
      <c r="B59" s="563" t="s">
        <v>2142</v>
      </c>
      <c r="C59" s="561">
        <v>265</v>
      </c>
      <c r="D59" s="561">
        <v>118</v>
      </c>
      <c r="E59" s="552">
        <f t="shared" si="0"/>
        <v>0.44528301886792454</v>
      </c>
      <c r="F59" s="561">
        <v>60</v>
      </c>
      <c r="G59" s="561">
        <v>21</v>
      </c>
      <c r="H59" s="552">
        <f t="shared" si="2"/>
        <v>0.35</v>
      </c>
      <c r="I59" s="553">
        <f t="shared" si="5"/>
        <v>325</v>
      </c>
      <c r="J59" s="554">
        <f t="shared" si="5"/>
        <v>139</v>
      </c>
      <c r="K59" s="555">
        <f t="shared" si="3"/>
        <v>0.4276923076923077</v>
      </c>
    </row>
    <row r="60" spans="1:11">
      <c r="A60" s="562" t="s">
        <v>2143</v>
      </c>
      <c r="B60" s="563" t="s">
        <v>2144</v>
      </c>
      <c r="C60" s="561"/>
      <c r="D60" s="561"/>
      <c r="E60" s="552" t="e">
        <f t="shared" si="0"/>
        <v>#DIV/0!</v>
      </c>
      <c r="F60" s="561"/>
      <c r="G60" s="561"/>
      <c r="H60" s="552" t="e">
        <f t="shared" si="2"/>
        <v>#DIV/0!</v>
      </c>
      <c r="I60" s="553">
        <f t="shared" si="5"/>
        <v>0</v>
      </c>
      <c r="J60" s="554">
        <f t="shared" si="5"/>
        <v>0</v>
      </c>
      <c r="K60" s="555" t="e">
        <f t="shared" si="3"/>
        <v>#DIV/0!</v>
      </c>
    </row>
    <row r="61" spans="1:11">
      <c r="A61" s="562" t="s">
        <v>2145</v>
      </c>
      <c r="B61" s="563" t="s">
        <v>2146</v>
      </c>
      <c r="C61" s="561">
        <v>5</v>
      </c>
      <c r="D61" s="561">
        <v>2</v>
      </c>
      <c r="E61" s="552">
        <f t="shared" si="0"/>
        <v>0.4</v>
      </c>
      <c r="F61" s="561">
        <v>10</v>
      </c>
      <c r="G61" s="561">
        <v>5</v>
      </c>
      <c r="H61" s="552">
        <f t="shared" si="2"/>
        <v>0.5</v>
      </c>
      <c r="I61" s="553">
        <f t="shared" si="5"/>
        <v>15</v>
      </c>
      <c r="J61" s="554">
        <f t="shared" si="5"/>
        <v>7</v>
      </c>
      <c r="K61" s="555">
        <f t="shared" si="3"/>
        <v>0.46666666666666667</v>
      </c>
    </row>
    <row r="62" spans="1:11">
      <c r="A62" s="562" t="s">
        <v>2147</v>
      </c>
      <c r="B62" s="563" t="s">
        <v>2148</v>
      </c>
      <c r="C62" s="561"/>
      <c r="D62" s="561"/>
      <c r="E62" s="552" t="e">
        <f t="shared" si="0"/>
        <v>#DIV/0!</v>
      </c>
      <c r="F62" s="561"/>
      <c r="G62" s="561">
        <v>1</v>
      </c>
      <c r="H62" s="552" t="e">
        <f t="shared" si="2"/>
        <v>#DIV/0!</v>
      </c>
      <c r="I62" s="553">
        <f t="shared" si="5"/>
        <v>0</v>
      </c>
      <c r="J62" s="554">
        <f t="shared" si="5"/>
        <v>1</v>
      </c>
      <c r="K62" s="555" t="e">
        <f t="shared" si="3"/>
        <v>#DIV/0!</v>
      </c>
    </row>
    <row r="63" spans="1:11">
      <c r="A63" s="562" t="s">
        <v>2149</v>
      </c>
      <c r="B63" s="563" t="s">
        <v>2150</v>
      </c>
      <c r="C63" s="561">
        <v>25</v>
      </c>
      <c r="D63" s="561">
        <v>10</v>
      </c>
      <c r="E63" s="552">
        <f t="shared" si="0"/>
        <v>0.4</v>
      </c>
      <c r="F63" s="561">
        <v>5</v>
      </c>
      <c r="G63" s="561">
        <v>2</v>
      </c>
      <c r="H63" s="552">
        <f t="shared" si="2"/>
        <v>0.4</v>
      </c>
      <c r="I63" s="553">
        <f t="shared" si="5"/>
        <v>30</v>
      </c>
      <c r="J63" s="554">
        <f t="shared" si="5"/>
        <v>12</v>
      </c>
      <c r="K63" s="555">
        <f t="shared" si="3"/>
        <v>0.4</v>
      </c>
    </row>
    <row r="64" spans="1:11">
      <c r="A64" s="562" t="s">
        <v>2151</v>
      </c>
      <c r="B64" s="563" t="s">
        <v>2152</v>
      </c>
      <c r="C64" s="561">
        <v>2</v>
      </c>
      <c r="D64" s="561"/>
      <c r="E64" s="552">
        <f t="shared" si="0"/>
        <v>0</v>
      </c>
      <c r="F64" s="561">
        <v>10</v>
      </c>
      <c r="G64" s="561"/>
      <c r="H64" s="552">
        <f t="shared" si="2"/>
        <v>0</v>
      </c>
      <c r="I64" s="553">
        <f t="shared" si="5"/>
        <v>12</v>
      </c>
      <c r="J64" s="554">
        <f t="shared" si="5"/>
        <v>0</v>
      </c>
      <c r="K64" s="555">
        <f t="shared" si="3"/>
        <v>0</v>
      </c>
    </row>
    <row r="65" spans="1:11">
      <c r="A65" s="562" t="s">
        <v>2153</v>
      </c>
      <c r="B65" s="563" t="s">
        <v>2154</v>
      </c>
      <c r="C65" s="561">
        <v>925</v>
      </c>
      <c r="D65" s="561">
        <v>494</v>
      </c>
      <c r="E65" s="552">
        <f t="shared" si="0"/>
        <v>0.53405405405405404</v>
      </c>
      <c r="F65" s="561">
        <v>435</v>
      </c>
      <c r="G65" s="561">
        <v>204</v>
      </c>
      <c r="H65" s="552">
        <f t="shared" si="2"/>
        <v>0.4689655172413793</v>
      </c>
      <c r="I65" s="553">
        <f t="shared" si="5"/>
        <v>1360</v>
      </c>
      <c r="J65" s="554">
        <f t="shared" si="5"/>
        <v>698</v>
      </c>
      <c r="K65" s="555">
        <f t="shared" si="3"/>
        <v>0.51323529411764701</v>
      </c>
    </row>
    <row r="66" spans="1:11" ht="38.25">
      <c r="A66" s="562" t="s">
        <v>2155</v>
      </c>
      <c r="B66" s="563" t="s">
        <v>2156</v>
      </c>
      <c r="C66" s="561">
        <v>170</v>
      </c>
      <c r="D66" s="561">
        <v>108</v>
      </c>
      <c r="E66" s="552">
        <f t="shared" si="0"/>
        <v>0.63529411764705879</v>
      </c>
      <c r="F66" s="561">
        <v>20</v>
      </c>
      <c r="G66" s="561">
        <v>8</v>
      </c>
      <c r="H66" s="552">
        <f t="shared" si="2"/>
        <v>0.4</v>
      </c>
      <c r="I66" s="553">
        <f t="shared" si="5"/>
        <v>190</v>
      </c>
      <c r="J66" s="554">
        <f t="shared" si="5"/>
        <v>116</v>
      </c>
      <c r="K66" s="555">
        <f t="shared" si="3"/>
        <v>0.61052631578947369</v>
      </c>
    </row>
    <row r="67" spans="1:11" ht="51">
      <c r="A67" s="562" t="s">
        <v>2157</v>
      </c>
      <c r="B67" s="563" t="s">
        <v>2158</v>
      </c>
      <c r="C67" s="561">
        <v>10</v>
      </c>
      <c r="D67" s="561">
        <v>3</v>
      </c>
      <c r="E67" s="552">
        <f t="shared" si="0"/>
        <v>0.3</v>
      </c>
      <c r="F67" s="561">
        <v>5</v>
      </c>
      <c r="G67" s="561">
        <v>2</v>
      </c>
      <c r="H67" s="552">
        <f t="shared" si="2"/>
        <v>0.4</v>
      </c>
      <c r="I67" s="553">
        <f t="shared" si="5"/>
        <v>15</v>
      </c>
      <c r="J67" s="554">
        <f t="shared" si="5"/>
        <v>5</v>
      </c>
      <c r="K67" s="555">
        <f t="shared" si="3"/>
        <v>0.33333333333333331</v>
      </c>
    </row>
    <row r="68" spans="1:11" ht="51">
      <c r="A68" s="562" t="s">
        <v>2159</v>
      </c>
      <c r="B68" s="563" t="s">
        <v>2160</v>
      </c>
      <c r="C68" s="561">
        <v>1</v>
      </c>
      <c r="D68" s="561"/>
      <c r="E68" s="552">
        <f t="shared" si="0"/>
        <v>0</v>
      </c>
      <c r="F68" s="561"/>
      <c r="G68" s="561"/>
      <c r="H68" s="552" t="e">
        <f t="shared" si="2"/>
        <v>#DIV/0!</v>
      </c>
      <c r="I68" s="553">
        <f t="shared" si="5"/>
        <v>1</v>
      </c>
      <c r="J68" s="554">
        <f t="shared" si="5"/>
        <v>0</v>
      </c>
      <c r="K68" s="555">
        <f t="shared" si="3"/>
        <v>0</v>
      </c>
    </row>
    <row r="69" spans="1:11" ht="25.5">
      <c r="A69" s="562" t="s">
        <v>2161</v>
      </c>
      <c r="B69" s="563" t="s">
        <v>2162</v>
      </c>
      <c r="C69" s="561">
        <v>10</v>
      </c>
      <c r="D69" s="561">
        <v>13</v>
      </c>
      <c r="E69" s="552">
        <f t="shared" si="0"/>
        <v>1.3</v>
      </c>
      <c r="F69" s="561">
        <v>5</v>
      </c>
      <c r="G69" s="561">
        <v>3</v>
      </c>
      <c r="H69" s="552">
        <f t="shared" si="2"/>
        <v>0.6</v>
      </c>
      <c r="I69" s="553">
        <f t="shared" si="5"/>
        <v>15</v>
      </c>
      <c r="J69" s="554">
        <f t="shared" si="5"/>
        <v>16</v>
      </c>
      <c r="K69" s="555">
        <f t="shared" si="3"/>
        <v>1.0666666666666667</v>
      </c>
    </row>
    <row r="70" spans="1:11">
      <c r="A70" s="562" t="s">
        <v>2163</v>
      </c>
      <c r="B70" s="563" t="s">
        <v>2164</v>
      </c>
      <c r="C70" s="561">
        <v>40</v>
      </c>
      <c r="D70" s="561">
        <v>15</v>
      </c>
      <c r="E70" s="552">
        <f t="shared" si="0"/>
        <v>0.375</v>
      </c>
      <c r="F70" s="561">
        <v>5</v>
      </c>
      <c r="G70" s="561">
        <v>1</v>
      </c>
      <c r="H70" s="552">
        <f t="shared" si="2"/>
        <v>0.2</v>
      </c>
      <c r="I70" s="553">
        <f t="shared" si="5"/>
        <v>45</v>
      </c>
      <c r="J70" s="554">
        <f t="shared" si="5"/>
        <v>16</v>
      </c>
      <c r="K70" s="555">
        <f t="shared" si="3"/>
        <v>0.35555555555555557</v>
      </c>
    </row>
    <row r="71" spans="1:11">
      <c r="A71" s="562" t="s">
        <v>2165</v>
      </c>
      <c r="B71" s="563" t="s">
        <v>2166</v>
      </c>
      <c r="C71" s="561">
        <v>10</v>
      </c>
      <c r="D71" s="561"/>
      <c r="E71" s="552">
        <f t="shared" si="0"/>
        <v>0</v>
      </c>
      <c r="F71" s="561">
        <v>10</v>
      </c>
      <c r="G71" s="561">
        <v>4</v>
      </c>
      <c r="H71" s="552">
        <f t="shared" si="2"/>
        <v>0.4</v>
      </c>
      <c r="I71" s="553">
        <f t="shared" si="5"/>
        <v>20</v>
      </c>
      <c r="J71" s="554">
        <f t="shared" si="5"/>
        <v>4</v>
      </c>
      <c r="K71" s="555">
        <f t="shared" si="3"/>
        <v>0.2</v>
      </c>
    </row>
    <row r="72" spans="1:11">
      <c r="A72" s="562" t="s">
        <v>176</v>
      </c>
      <c r="B72" s="563" t="s">
        <v>2167</v>
      </c>
      <c r="C72" s="561">
        <v>935</v>
      </c>
      <c r="D72" s="561">
        <v>566</v>
      </c>
      <c r="E72" s="552">
        <f t="shared" si="0"/>
        <v>0.6053475935828877</v>
      </c>
      <c r="F72" s="561">
        <v>20</v>
      </c>
      <c r="G72" s="561">
        <v>10</v>
      </c>
      <c r="H72" s="552">
        <f t="shared" si="2"/>
        <v>0.5</v>
      </c>
      <c r="I72" s="553">
        <f t="shared" si="5"/>
        <v>955</v>
      </c>
      <c r="J72" s="554">
        <f t="shared" si="5"/>
        <v>576</v>
      </c>
      <c r="K72" s="555">
        <f t="shared" si="3"/>
        <v>0.60314136125654449</v>
      </c>
    </row>
    <row r="73" spans="1:11">
      <c r="A73" s="562" t="s">
        <v>2168</v>
      </c>
      <c r="B73" s="563" t="s">
        <v>2169</v>
      </c>
      <c r="C73" s="561">
        <v>70</v>
      </c>
      <c r="D73" s="561">
        <v>45</v>
      </c>
      <c r="E73" s="552">
        <f t="shared" ref="E73:E80" si="6">+D73/C73</f>
        <v>0.6428571428571429</v>
      </c>
      <c r="F73" s="561">
        <v>5</v>
      </c>
      <c r="G73" s="561"/>
      <c r="H73" s="552">
        <f t="shared" ref="H73:H80" si="7">+G73/F73</f>
        <v>0</v>
      </c>
      <c r="I73" s="553">
        <f t="shared" si="5"/>
        <v>75</v>
      </c>
      <c r="J73" s="554">
        <f t="shared" si="5"/>
        <v>45</v>
      </c>
      <c r="K73" s="555">
        <f t="shared" ref="K73:K80" si="8">+J73/I73</f>
        <v>0.6</v>
      </c>
    </row>
    <row r="74" spans="1:11">
      <c r="A74" s="562" t="s">
        <v>2170</v>
      </c>
      <c r="B74" s="563" t="s">
        <v>2171</v>
      </c>
      <c r="C74" s="561"/>
      <c r="D74" s="561"/>
      <c r="E74" s="552" t="e">
        <f t="shared" si="6"/>
        <v>#DIV/0!</v>
      </c>
      <c r="F74" s="561">
        <v>25</v>
      </c>
      <c r="G74" s="561">
        <v>5</v>
      </c>
      <c r="H74" s="552">
        <f t="shared" si="7"/>
        <v>0.2</v>
      </c>
      <c r="I74" s="553">
        <f t="shared" ref="I74:J80" si="9">+C74+F74</f>
        <v>25</v>
      </c>
      <c r="J74" s="554">
        <f t="shared" si="9"/>
        <v>5</v>
      </c>
      <c r="K74" s="555">
        <f t="shared" si="8"/>
        <v>0.2</v>
      </c>
    </row>
    <row r="75" spans="1:11">
      <c r="A75" s="562" t="s">
        <v>2172</v>
      </c>
      <c r="B75" s="563" t="s">
        <v>2173</v>
      </c>
      <c r="C75" s="561">
        <v>3</v>
      </c>
      <c r="D75" s="561">
        <v>3</v>
      </c>
      <c r="E75" s="552">
        <f t="shared" si="6"/>
        <v>1</v>
      </c>
      <c r="F75" s="561">
        <v>1</v>
      </c>
      <c r="G75" s="561"/>
      <c r="H75" s="552">
        <f t="shared" si="7"/>
        <v>0</v>
      </c>
      <c r="I75" s="553">
        <f t="shared" si="9"/>
        <v>4</v>
      </c>
      <c r="J75" s="554">
        <f t="shared" si="9"/>
        <v>3</v>
      </c>
      <c r="K75" s="555">
        <f t="shared" si="8"/>
        <v>0.75</v>
      </c>
    </row>
    <row r="76" spans="1:11">
      <c r="A76" s="562" t="s">
        <v>2174</v>
      </c>
      <c r="B76" s="563" t="s">
        <v>2175</v>
      </c>
      <c r="C76" s="561"/>
      <c r="D76" s="1806"/>
      <c r="E76" s="552" t="e">
        <f t="shared" si="6"/>
        <v>#DIV/0!</v>
      </c>
      <c r="F76" s="561"/>
      <c r="G76" s="1806"/>
      <c r="H76" s="552" t="e">
        <f t="shared" si="7"/>
        <v>#DIV/0!</v>
      </c>
      <c r="I76" s="553">
        <f t="shared" si="9"/>
        <v>0</v>
      </c>
      <c r="J76" s="554">
        <f t="shared" si="9"/>
        <v>0</v>
      </c>
      <c r="K76" s="555" t="e">
        <f t="shared" si="8"/>
        <v>#DIV/0!</v>
      </c>
    </row>
    <row r="77" spans="1:11" ht="25.5">
      <c r="A77" s="562" t="s">
        <v>2176</v>
      </c>
      <c r="B77" s="563" t="s">
        <v>2177</v>
      </c>
      <c r="C77" s="561"/>
      <c r="D77" s="561"/>
      <c r="E77" s="552" t="e">
        <f t="shared" si="6"/>
        <v>#DIV/0!</v>
      </c>
      <c r="F77" s="561"/>
      <c r="G77" s="561"/>
      <c r="H77" s="552" t="e">
        <f t="shared" si="7"/>
        <v>#DIV/0!</v>
      </c>
      <c r="I77" s="553">
        <f t="shared" si="9"/>
        <v>0</v>
      </c>
      <c r="J77" s="554">
        <f t="shared" si="9"/>
        <v>0</v>
      </c>
      <c r="K77" s="555" t="e">
        <f t="shared" si="8"/>
        <v>#DIV/0!</v>
      </c>
    </row>
    <row r="78" spans="1:11" ht="38.25">
      <c r="A78" s="569" t="s">
        <v>2178</v>
      </c>
      <c r="B78" s="570" t="s">
        <v>2179</v>
      </c>
      <c r="C78" s="561"/>
      <c r="D78" s="561"/>
      <c r="E78" s="552" t="e">
        <f t="shared" si="6"/>
        <v>#DIV/0!</v>
      </c>
      <c r="F78" s="561"/>
      <c r="G78" s="561"/>
      <c r="H78" s="552" t="e">
        <f t="shared" si="7"/>
        <v>#DIV/0!</v>
      </c>
      <c r="I78" s="553">
        <f t="shared" si="9"/>
        <v>0</v>
      </c>
      <c r="J78" s="554">
        <f t="shared" si="9"/>
        <v>0</v>
      </c>
      <c r="K78" s="555" t="e">
        <f t="shared" si="8"/>
        <v>#DIV/0!</v>
      </c>
    </row>
    <row r="79" spans="1:11">
      <c r="A79" s="571" t="s">
        <v>259</v>
      </c>
      <c r="B79" s="557"/>
      <c r="C79" s="572">
        <f>SUM(C80:C80)</f>
        <v>13100</v>
      </c>
      <c r="D79" s="572"/>
      <c r="E79" s="552">
        <f t="shared" si="6"/>
        <v>0</v>
      </c>
      <c r="F79" s="572">
        <f>SUM(F80:F80)</f>
        <v>0</v>
      </c>
      <c r="G79" s="572"/>
      <c r="H79" s="552" t="e">
        <f t="shared" si="7"/>
        <v>#DIV/0!</v>
      </c>
      <c r="I79" s="553">
        <f t="shared" si="9"/>
        <v>13100</v>
      </c>
      <c r="J79" s="554">
        <f t="shared" si="9"/>
        <v>0</v>
      </c>
      <c r="K79" s="555">
        <f t="shared" si="8"/>
        <v>0</v>
      </c>
    </row>
    <row r="80" spans="1:11">
      <c r="A80" s="573" t="s">
        <v>176</v>
      </c>
      <c r="B80" s="574" t="s">
        <v>193</v>
      </c>
      <c r="C80" s="561">
        <v>13100</v>
      </c>
      <c r="D80" s="561">
        <v>528</v>
      </c>
      <c r="E80" s="552">
        <f t="shared" si="6"/>
        <v>4.0305343511450382E-2</v>
      </c>
      <c r="F80" s="561"/>
      <c r="G80" s="561"/>
      <c r="H80" s="552" t="e">
        <f t="shared" si="7"/>
        <v>#DIV/0!</v>
      </c>
      <c r="I80" s="553">
        <f t="shared" si="9"/>
        <v>13100</v>
      </c>
      <c r="J80" s="554">
        <f t="shared" si="9"/>
        <v>528</v>
      </c>
      <c r="K80" s="555">
        <f t="shared" si="8"/>
        <v>4.0305343511450382E-2</v>
      </c>
    </row>
    <row r="81" spans="1:11" ht="38.25">
      <c r="A81" s="575"/>
      <c r="B81" s="576" t="s">
        <v>2180</v>
      </c>
      <c r="C81" s="2248"/>
      <c r="D81" s="2248"/>
      <c r="E81" s="2248"/>
      <c r="F81" s="2248"/>
      <c r="G81" s="2248"/>
      <c r="H81" s="2248"/>
      <c r="I81" s="2248"/>
      <c r="J81" s="577"/>
      <c r="K81" s="578"/>
    </row>
    <row r="82" spans="1:11">
      <c r="A82" s="579"/>
      <c r="B82" s="580" t="s">
        <v>257</v>
      </c>
      <c r="C82" s="581">
        <v>10405</v>
      </c>
      <c r="D82" s="581">
        <v>6023</v>
      </c>
      <c r="E82" s="582">
        <f>+D82/C82</f>
        <v>0.57885631907736668</v>
      </c>
      <c r="F82" s="581">
        <v>4378</v>
      </c>
      <c r="G82" s="581">
        <v>1803</v>
      </c>
      <c r="H82" s="582">
        <f>+G82/F82</f>
        <v>0.41183188670625859</v>
      </c>
      <c r="I82" s="583">
        <f>+C82+F82</f>
        <v>14783</v>
      </c>
      <c r="J82" s="554">
        <f>+D82+G82</f>
        <v>7826</v>
      </c>
      <c r="K82" s="555">
        <f>+J82/I82</f>
        <v>0.52939186903876079</v>
      </c>
    </row>
    <row r="83" spans="1:11">
      <c r="A83" s="584"/>
      <c r="B83" s="585" t="s">
        <v>258</v>
      </c>
      <c r="C83" s="558">
        <f t="shared" ref="C83:J83" si="10">SUM(C84:C104)</f>
        <v>14382</v>
      </c>
      <c r="D83" s="558">
        <f t="shared" si="10"/>
        <v>6827</v>
      </c>
      <c r="E83" s="582">
        <f t="shared" ref="E83:E104" si="11">+D83/C83</f>
        <v>0.47469058545403975</v>
      </c>
      <c r="F83" s="558">
        <f t="shared" si="10"/>
        <v>3853</v>
      </c>
      <c r="G83" s="558">
        <f t="shared" si="10"/>
        <v>1775</v>
      </c>
      <c r="H83" s="582">
        <f t="shared" ref="H83:H104" si="12">+G83/F83</f>
        <v>0.46067998961847911</v>
      </c>
      <c r="I83" s="558">
        <f t="shared" si="10"/>
        <v>18235</v>
      </c>
      <c r="J83" s="558">
        <f t="shared" si="10"/>
        <v>8602</v>
      </c>
      <c r="K83" s="555">
        <f>+J83/I83</f>
        <v>0.47173018919659992</v>
      </c>
    </row>
    <row r="84" spans="1:11">
      <c r="A84" s="569" t="s">
        <v>2181</v>
      </c>
      <c r="B84" s="586" t="s">
        <v>2182</v>
      </c>
      <c r="C84" s="587">
        <v>615</v>
      </c>
      <c r="D84" s="588">
        <v>319</v>
      </c>
      <c r="E84" s="582">
        <f t="shared" si="11"/>
        <v>0.5186991869918699</v>
      </c>
      <c r="F84" s="588">
        <v>110</v>
      </c>
      <c r="G84" s="588">
        <v>27</v>
      </c>
      <c r="H84" s="582">
        <f t="shared" si="12"/>
        <v>0.24545454545454545</v>
      </c>
      <c r="I84" s="583">
        <f>+C84+F84</f>
        <v>725</v>
      </c>
      <c r="J84" s="554">
        <f>+D84+G84</f>
        <v>346</v>
      </c>
      <c r="K84" s="555">
        <f t="shared" ref="K84:K104" si="13">+J84/I84</f>
        <v>0.47724137931034483</v>
      </c>
    </row>
    <row r="85" spans="1:11">
      <c r="A85" s="569" t="s">
        <v>2183</v>
      </c>
      <c r="B85" s="589" t="s">
        <v>2184</v>
      </c>
      <c r="C85" s="561">
        <v>9260</v>
      </c>
      <c r="D85" s="590">
        <v>4480</v>
      </c>
      <c r="E85" s="582">
        <f t="shared" si="11"/>
        <v>0.48380129589632831</v>
      </c>
      <c r="F85" s="590">
        <v>3340</v>
      </c>
      <c r="G85" s="590">
        <v>1582</v>
      </c>
      <c r="H85" s="582">
        <f t="shared" si="12"/>
        <v>0.47365269461077847</v>
      </c>
      <c r="I85" s="583">
        <f t="shared" ref="I85:J104" si="14">+C85+F85</f>
        <v>12600</v>
      </c>
      <c r="J85" s="554">
        <f t="shared" si="14"/>
        <v>6062</v>
      </c>
      <c r="K85" s="555">
        <f t="shared" si="13"/>
        <v>0.4811111111111111</v>
      </c>
    </row>
    <row r="86" spans="1:11">
      <c r="A86" s="569" t="s">
        <v>2185</v>
      </c>
      <c r="B86" s="589" t="s">
        <v>2186</v>
      </c>
      <c r="C86" s="561">
        <v>130</v>
      </c>
      <c r="D86" s="590">
        <v>84</v>
      </c>
      <c r="E86" s="582">
        <f t="shared" si="11"/>
        <v>0.64615384615384619</v>
      </c>
      <c r="F86" s="590">
        <v>40</v>
      </c>
      <c r="G86" s="590">
        <v>33</v>
      </c>
      <c r="H86" s="582">
        <f t="shared" si="12"/>
        <v>0.82499999999999996</v>
      </c>
      <c r="I86" s="583">
        <f t="shared" si="14"/>
        <v>170</v>
      </c>
      <c r="J86" s="554">
        <f t="shared" si="14"/>
        <v>117</v>
      </c>
      <c r="K86" s="555">
        <f t="shared" si="13"/>
        <v>0.68823529411764706</v>
      </c>
    </row>
    <row r="87" spans="1:11">
      <c r="A87" s="569" t="s">
        <v>2187</v>
      </c>
      <c r="B87" s="589" t="s">
        <v>2188</v>
      </c>
      <c r="C87" s="561">
        <v>145</v>
      </c>
      <c r="D87" s="590">
        <v>45</v>
      </c>
      <c r="E87" s="582">
        <f t="shared" si="11"/>
        <v>0.31034482758620691</v>
      </c>
      <c r="F87" s="590">
        <v>20</v>
      </c>
      <c r="G87" s="590">
        <v>6</v>
      </c>
      <c r="H87" s="582">
        <f t="shared" si="12"/>
        <v>0.3</v>
      </c>
      <c r="I87" s="583">
        <f t="shared" si="14"/>
        <v>165</v>
      </c>
      <c r="J87" s="554">
        <f t="shared" si="14"/>
        <v>51</v>
      </c>
      <c r="K87" s="555">
        <f t="shared" si="13"/>
        <v>0.30909090909090908</v>
      </c>
    </row>
    <row r="88" spans="1:11">
      <c r="A88" s="569" t="s">
        <v>2189</v>
      </c>
      <c r="B88" s="589" t="s">
        <v>2190</v>
      </c>
      <c r="C88" s="561">
        <v>120</v>
      </c>
      <c r="D88" s="590">
        <v>57</v>
      </c>
      <c r="E88" s="582">
        <f t="shared" si="11"/>
        <v>0.47499999999999998</v>
      </c>
      <c r="F88" s="590">
        <v>5</v>
      </c>
      <c r="G88" s="590"/>
      <c r="H88" s="582">
        <f t="shared" si="12"/>
        <v>0</v>
      </c>
      <c r="I88" s="583">
        <f t="shared" si="14"/>
        <v>125</v>
      </c>
      <c r="J88" s="554">
        <f t="shared" si="14"/>
        <v>57</v>
      </c>
      <c r="K88" s="555">
        <f t="shared" si="13"/>
        <v>0.45600000000000002</v>
      </c>
    </row>
    <row r="89" spans="1:11">
      <c r="A89" s="569" t="s">
        <v>2191</v>
      </c>
      <c r="B89" s="589" t="s">
        <v>2192</v>
      </c>
      <c r="C89" s="561"/>
      <c r="D89" s="590"/>
      <c r="E89" s="582" t="e">
        <f t="shared" si="11"/>
        <v>#DIV/0!</v>
      </c>
      <c r="F89" s="590"/>
      <c r="G89" s="590"/>
      <c r="H89" s="582" t="e">
        <f t="shared" si="12"/>
        <v>#DIV/0!</v>
      </c>
      <c r="I89" s="583">
        <f t="shared" si="14"/>
        <v>0</v>
      </c>
      <c r="J89" s="554">
        <f t="shared" si="14"/>
        <v>0</v>
      </c>
      <c r="K89" s="555" t="e">
        <f t="shared" si="13"/>
        <v>#DIV/0!</v>
      </c>
    </row>
    <row r="90" spans="1:11">
      <c r="A90" s="569" t="s">
        <v>177</v>
      </c>
      <c r="B90" s="589" t="s">
        <v>2193</v>
      </c>
      <c r="C90" s="561">
        <v>2600</v>
      </c>
      <c r="D90" s="590">
        <v>1230</v>
      </c>
      <c r="E90" s="582">
        <f t="shared" si="11"/>
        <v>0.47307692307692306</v>
      </c>
      <c r="F90" s="590">
        <v>70</v>
      </c>
      <c r="G90" s="590">
        <v>12</v>
      </c>
      <c r="H90" s="582">
        <f t="shared" si="12"/>
        <v>0.17142857142857143</v>
      </c>
      <c r="I90" s="583">
        <f t="shared" si="14"/>
        <v>2670</v>
      </c>
      <c r="J90" s="554">
        <f t="shared" si="14"/>
        <v>1242</v>
      </c>
      <c r="K90" s="555">
        <f t="shared" si="13"/>
        <v>0.46516853932584268</v>
      </c>
    </row>
    <row r="91" spans="1:11">
      <c r="A91" s="569" t="s">
        <v>2194</v>
      </c>
      <c r="B91" s="589" t="s">
        <v>2195</v>
      </c>
      <c r="C91" s="561">
        <v>750</v>
      </c>
      <c r="D91" s="590">
        <v>379</v>
      </c>
      <c r="E91" s="582">
        <f t="shared" si="11"/>
        <v>0.5053333333333333</v>
      </c>
      <c r="F91" s="590">
        <v>205</v>
      </c>
      <c r="G91" s="590">
        <v>102</v>
      </c>
      <c r="H91" s="582">
        <f t="shared" si="12"/>
        <v>0.4975609756097561</v>
      </c>
      <c r="I91" s="583">
        <f t="shared" si="14"/>
        <v>955</v>
      </c>
      <c r="J91" s="554">
        <f t="shared" si="14"/>
        <v>481</v>
      </c>
      <c r="K91" s="555">
        <f t="shared" si="13"/>
        <v>0.50366492146596864</v>
      </c>
    </row>
    <row r="92" spans="1:11" ht="25.5">
      <c r="A92" s="569" t="s">
        <v>2196</v>
      </c>
      <c r="B92" s="589" t="s">
        <v>2197</v>
      </c>
      <c r="C92" s="561">
        <v>10</v>
      </c>
      <c r="D92" s="590"/>
      <c r="E92" s="582">
        <f t="shared" si="11"/>
        <v>0</v>
      </c>
      <c r="F92" s="590">
        <v>1</v>
      </c>
      <c r="G92" s="590"/>
      <c r="H92" s="582">
        <f t="shared" si="12"/>
        <v>0</v>
      </c>
      <c r="I92" s="583">
        <f t="shared" si="14"/>
        <v>11</v>
      </c>
      <c r="J92" s="554">
        <f t="shared" si="14"/>
        <v>0</v>
      </c>
      <c r="K92" s="555">
        <f t="shared" si="13"/>
        <v>0</v>
      </c>
    </row>
    <row r="93" spans="1:11">
      <c r="A93" s="569" t="s">
        <v>2198</v>
      </c>
      <c r="B93" s="589" t="s">
        <v>2199</v>
      </c>
      <c r="C93" s="561">
        <v>1</v>
      </c>
      <c r="D93" s="590">
        <v>1</v>
      </c>
      <c r="E93" s="582">
        <f t="shared" si="11"/>
        <v>1</v>
      </c>
      <c r="F93" s="590"/>
      <c r="G93" s="590"/>
      <c r="H93" s="582" t="e">
        <f t="shared" si="12"/>
        <v>#DIV/0!</v>
      </c>
      <c r="I93" s="583">
        <f t="shared" si="14"/>
        <v>1</v>
      </c>
      <c r="J93" s="554">
        <f t="shared" si="14"/>
        <v>1</v>
      </c>
      <c r="K93" s="555">
        <f t="shared" si="13"/>
        <v>1</v>
      </c>
    </row>
    <row r="94" spans="1:11">
      <c r="A94" s="569" t="s">
        <v>2200</v>
      </c>
      <c r="B94" s="589" t="s">
        <v>2201</v>
      </c>
      <c r="C94" s="561"/>
      <c r="D94" s="590"/>
      <c r="E94" s="582" t="e">
        <f t="shared" si="11"/>
        <v>#DIV/0!</v>
      </c>
      <c r="F94" s="590"/>
      <c r="G94" s="590"/>
      <c r="H94" s="582" t="e">
        <f t="shared" si="12"/>
        <v>#DIV/0!</v>
      </c>
      <c r="I94" s="583">
        <f t="shared" si="14"/>
        <v>0</v>
      </c>
      <c r="J94" s="554">
        <f t="shared" si="14"/>
        <v>0</v>
      </c>
      <c r="K94" s="555" t="e">
        <f t="shared" si="13"/>
        <v>#DIV/0!</v>
      </c>
    </row>
    <row r="95" spans="1:11">
      <c r="A95" s="569" t="s">
        <v>2202</v>
      </c>
      <c r="B95" s="589" t="s">
        <v>2203</v>
      </c>
      <c r="C95" s="561">
        <v>10</v>
      </c>
      <c r="D95" s="590">
        <v>3</v>
      </c>
      <c r="E95" s="582">
        <f t="shared" si="11"/>
        <v>0.3</v>
      </c>
      <c r="F95" s="590"/>
      <c r="G95" s="590"/>
      <c r="H95" s="582" t="e">
        <f t="shared" si="12"/>
        <v>#DIV/0!</v>
      </c>
      <c r="I95" s="583">
        <f t="shared" si="14"/>
        <v>10</v>
      </c>
      <c r="J95" s="554">
        <f t="shared" si="14"/>
        <v>3</v>
      </c>
      <c r="K95" s="555">
        <f t="shared" si="13"/>
        <v>0.3</v>
      </c>
    </row>
    <row r="96" spans="1:11">
      <c r="A96" s="569" t="s">
        <v>2204</v>
      </c>
      <c r="B96" s="589" t="s">
        <v>2205</v>
      </c>
      <c r="C96" s="561">
        <v>1</v>
      </c>
      <c r="D96" s="590"/>
      <c r="E96" s="582">
        <f t="shared" si="11"/>
        <v>0</v>
      </c>
      <c r="F96" s="590"/>
      <c r="G96" s="590"/>
      <c r="H96" s="582" t="e">
        <f t="shared" si="12"/>
        <v>#DIV/0!</v>
      </c>
      <c r="I96" s="583">
        <f t="shared" si="14"/>
        <v>1</v>
      </c>
      <c r="J96" s="554">
        <f t="shared" si="14"/>
        <v>0</v>
      </c>
      <c r="K96" s="555">
        <f t="shared" si="13"/>
        <v>0</v>
      </c>
    </row>
    <row r="97" spans="1:11">
      <c r="A97" s="569" t="s">
        <v>2206</v>
      </c>
      <c r="B97" s="589" t="s">
        <v>2207</v>
      </c>
      <c r="C97" s="561">
        <v>10</v>
      </c>
      <c r="D97" s="590">
        <v>5</v>
      </c>
      <c r="E97" s="582">
        <f t="shared" si="11"/>
        <v>0.5</v>
      </c>
      <c r="F97" s="590">
        <v>2</v>
      </c>
      <c r="G97" s="590"/>
      <c r="H97" s="582">
        <f t="shared" si="12"/>
        <v>0</v>
      </c>
      <c r="I97" s="583">
        <f t="shared" si="14"/>
        <v>12</v>
      </c>
      <c r="J97" s="554">
        <f t="shared" si="14"/>
        <v>5</v>
      </c>
      <c r="K97" s="555">
        <f t="shared" si="13"/>
        <v>0.41666666666666669</v>
      </c>
    </row>
    <row r="98" spans="1:11">
      <c r="A98" s="569" t="s">
        <v>2208</v>
      </c>
      <c r="B98" s="570" t="s">
        <v>2209</v>
      </c>
      <c r="C98" s="561">
        <v>85</v>
      </c>
      <c r="D98" s="590">
        <v>55</v>
      </c>
      <c r="E98" s="582">
        <f t="shared" si="11"/>
        <v>0.6470588235294118</v>
      </c>
      <c r="F98" s="590">
        <v>15</v>
      </c>
      <c r="G98" s="590">
        <v>1</v>
      </c>
      <c r="H98" s="582">
        <f t="shared" si="12"/>
        <v>6.6666666666666666E-2</v>
      </c>
      <c r="I98" s="583">
        <f t="shared" si="14"/>
        <v>100</v>
      </c>
      <c r="J98" s="554">
        <f t="shared" si="14"/>
        <v>56</v>
      </c>
      <c r="K98" s="555">
        <f t="shared" si="13"/>
        <v>0.56000000000000005</v>
      </c>
    </row>
    <row r="99" spans="1:11">
      <c r="A99" s="569" t="s">
        <v>2210</v>
      </c>
      <c r="B99" s="570" t="s">
        <v>2211</v>
      </c>
      <c r="C99" s="561"/>
      <c r="D99" s="590"/>
      <c r="E99" s="582" t="e">
        <f t="shared" si="11"/>
        <v>#DIV/0!</v>
      </c>
      <c r="F99" s="590"/>
      <c r="G99" s="590"/>
      <c r="H99" s="582" t="e">
        <f t="shared" si="12"/>
        <v>#DIV/0!</v>
      </c>
      <c r="I99" s="583">
        <f t="shared" si="14"/>
        <v>0</v>
      </c>
      <c r="J99" s="554">
        <f t="shared" si="14"/>
        <v>0</v>
      </c>
      <c r="K99" s="555" t="e">
        <f t="shared" si="13"/>
        <v>#DIV/0!</v>
      </c>
    </row>
    <row r="100" spans="1:11">
      <c r="A100" s="569" t="s">
        <v>2212</v>
      </c>
      <c r="B100" s="570" t="s">
        <v>2213</v>
      </c>
      <c r="C100" s="561">
        <v>15</v>
      </c>
      <c r="D100" s="590">
        <v>4</v>
      </c>
      <c r="E100" s="582">
        <f t="shared" si="11"/>
        <v>0.26666666666666666</v>
      </c>
      <c r="F100" s="590">
        <v>5</v>
      </c>
      <c r="G100" s="590">
        <v>1</v>
      </c>
      <c r="H100" s="582">
        <f t="shared" si="12"/>
        <v>0.2</v>
      </c>
      <c r="I100" s="583">
        <f t="shared" si="14"/>
        <v>20</v>
      </c>
      <c r="J100" s="554">
        <f t="shared" si="14"/>
        <v>5</v>
      </c>
      <c r="K100" s="555">
        <f t="shared" si="13"/>
        <v>0.25</v>
      </c>
    </row>
    <row r="101" spans="1:11">
      <c r="A101" s="569" t="s">
        <v>2214</v>
      </c>
      <c r="B101" s="589" t="s">
        <v>2215</v>
      </c>
      <c r="C101" s="561">
        <v>110</v>
      </c>
      <c r="D101" s="590">
        <v>53</v>
      </c>
      <c r="E101" s="582">
        <f t="shared" si="11"/>
        <v>0.48181818181818181</v>
      </c>
      <c r="F101" s="590">
        <v>15</v>
      </c>
      <c r="G101" s="590">
        <v>7</v>
      </c>
      <c r="H101" s="582">
        <f t="shared" si="12"/>
        <v>0.46666666666666667</v>
      </c>
      <c r="I101" s="583">
        <f t="shared" si="14"/>
        <v>125</v>
      </c>
      <c r="J101" s="554">
        <f t="shared" si="14"/>
        <v>60</v>
      </c>
      <c r="K101" s="555">
        <f t="shared" si="13"/>
        <v>0.48</v>
      </c>
    </row>
    <row r="102" spans="1:11" ht="25.5">
      <c r="A102" s="569" t="s">
        <v>2216</v>
      </c>
      <c r="B102" s="589" t="s">
        <v>2217</v>
      </c>
      <c r="C102" s="561">
        <v>220</v>
      </c>
      <c r="D102" s="590">
        <v>82</v>
      </c>
      <c r="E102" s="582">
        <f t="shared" si="11"/>
        <v>0.37272727272727274</v>
      </c>
      <c r="F102" s="590">
        <v>25</v>
      </c>
      <c r="G102" s="590">
        <v>4</v>
      </c>
      <c r="H102" s="582">
        <f t="shared" si="12"/>
        <v>0.16</v>
      </c>
      <c r="I102" s="583">
        <f t="shared" si="14"/>
        <v>245</v>
      </c>
      <c r="J102" s="554">
        <f t="shared" si="14"/>
        <v>86</v>
      </c>
      <c r="K102" s="555">
        <f t="shared" si="13"/>
        <v>0.3510204081632653</v>
      </c>
    </row>
    <row r="103" spans="1:11" ht="25.5">
      <c r="A103" s="575"/>
      <c r="B103" s="591" t="s">
        <v>259</v>
      </c>
      <c r="C103" s="572">
        <f>+C104</f>
        <v>150</v>
      </c>
      <c r="D103" s="618"/>
      <c r="E103" s="582">
        <f t="shared" si="11"/>
        <v>0</v>
      </c>
      <c r="F103" s="592"/>
      <c r="G103" s="592"/>
      <c r="H103" s="582" t="e">
        <f t="shared" si="12"/>
        <v>#DIV/0!</v>
      </c>
      <c r="I103" s="583">
        <f t="shared" si="14"/>
        <v>150</v>
      </c>
      <c r="J103" s="554">
        <f t="shared" si="14"/>
        <v>0</v>
      </c>
      <c r="K103" s="555">
        <f t="shared" si="13"/>
        <v>0</v>
      </c>
    </row>
    <row r="104" spans="1:11">
      <c r="A104" s="593" t="s">
        <v>177</v>
      </c>
      <c r="B104" s="594" t="s">
        <v>189</v>
      </c>
      <c r="C104" s="561">
        <v>150</v>
      </c>
      <c r="D104" s="590">
        <v>30</v>
      </c>
      <c r="E104" s="582">
        <f t="shared" si="11"/>
        <v>0.2</v>
      </c>
      <c r="F104" s="590"/>
      <c r="G104" s="590"/>
      <c r="H104" s="582" t="e">
        <f t="shared" si="12"/>
        <v>#DIV/0!</v>
      </c>
      <c r="I104" s="583">
        <f t="shared" si="14"/>
        <v>150</v>
      </c>
      <c r="J104" s="554">
        <f t="shared" si="14"/>
        <v>30</v>
      </c>
      <c r="K104" s="555">
        <f t="shared" si="13"/>
        <v>0.2</v>
      </c>
    </row>
    <row r="105" spans="1:11">
      <c r="A105" s="2249"/>
      <c r="B105" s="2250"/>
      <c r="C105" s="2250"/>
      <c r="D105" s="2250"/>
      <c r="E105" s="2250"/>
      <c r="F105" s="2250"/>
      <c r="G105" s="2250"/>
      <c r="H105" s="2250"/>
      <c r="I105" s="2250"/>
      <c r="J105" s="2250"/>
      <c r="K105" s="2251"/>
    </row>
    <row r="106" spans="1:11" ht="38.25">
      <c r="A106" s="595"/>
      <c r="B106" s="596" t="s">
        <v>2218</v>
      </c>
      <c r="C106" s="2252"/>
      <c r="D106" s="2252"/>
      <c r="E106" s="2252"/>
      <c r="F106" s="2252"/>
      <c r="G106" s="2252"/>
      <c r="H106" s="2252"/>
      <c r="I106" s="2252"/>
      <c r="J106" s="577"/>
      <c r="K106" s="578"/>
    </row>
    <row r="107" spans="1:11">
      <c r="A107" s="579"/>
      <c r="B107" s="580" t="s">
        <v>257</v>
      </c>
      <c r="C107" s="581">
        <v>300</v>
      </c>
      <c r="D107" s="581">
        <f>135-40</f>
        <v>95</v>
      </c>
      <c r="E107" s="582">
        <f>+D107/C107</f>
        <v>0.31666666666666665</v>
      </c>
      <c r="F107" s="581">
        <v>100</v>
      </c>
      <c r="G107" s="581">
        <v>40</v>
      </c>
      <c r="H107" s="582">
        <f>+G107/F107</f>
        <v>0.4</v>
      </c>
      <c r="I107" s="597">
        <f>+C107+F107</f>
        <v>400</v>
      </c>
      <c r="J107" s="554">
        <f>+D107+G107</f>
        <v>135</v>
      </c>
      <c r="K107" s="555">
        <f>+J107/I107</f>
        <v>0.33750000000000002</v>
      </c>
    </row>
    <row r="108" spans="1:11">
      <c r="A108" s="575"/>
      <c r="B108" s="585" t="s">
        <v>258</v>
      </c>
      <c r="C108" s="558">
        <f t="shared" ref="C108:J108" si="15">SUM(C109:C116)</f>
        <v>315</v>
      </c>
      <c r="D108" s="558">
        <f t="shared" si="15"/>
        <v>113</v>
      </c>
      <c r="E108" s="582">
        <f t="shared" ref="E108:E116" si="16">+D108/C108</f>
        <v>0.35873015873015873</v>
      </c>
      <c r="F108" s="558">
        <f t="shared" si="15"/>
        <v>122</v>
      </c>
      <c r="G108" s="558">
        <f t="shared" si="15"/>
        <v>26</v>
      </c>
      <c r="H108" s="582">
        <f t="shared" ref="H108:H116" si="17">+G108/F108</f>
        <v>0.21311475409836064</v>
      </c>
      <c r="I108" s="598">
        <f t="shared" si="15"/>
        <v>437</v>
      </c>
      <c r="J108" s="598">
        <f t="shared" si="15"/>
        <v>139</v>
      </c>
      <c r="K108" s="555">
        <f>+J108/I108</f>
        <v>0.3180778032036613</v>
      </c>
    </row>
    <row r="109" spans="1:11" ht="25.5">
      <c r="A109" s="562" t="s">
        <v>2219</v>
      </c>
      <c r="B109" s="560" t="s">
        <v>2197</v>
      </c>
      <c r="C109" s="587">
        <v>10</v>
      </c>
      <c r="D109" s="588">
        <v>1</v>
      </c>
      <c r="E109" s="582">
        <f t="shared" si="16"/>
        <v>0.1</v>
      </c>
      <c r="F109" s="588">
        <v>1</v>
      </c>
      <c r="G109" s="588"/>
      <c r="H109" s="582">
        <f t="shared" si="17"/>
        <v>0</v>
      </c>
      <c r="I109" s="597">
        <f>+C109+F109</f>
        <v>11</v>
      </c>
      <c r="J109" s="554">
        <f>+D109+G109</f>
        <v>1</v>
      </c>
      <c r="K109" s="555">
        <f>+J109/I109</f>
        <v>9.0909090909090912E-2</v>
      </c>
    </row>
    <row r="110" spans="1:11" ht="25.5">
      <c r="A110" s="562" t="s">
        <v>2220</v>
      </c>
      <c r="B110" s="563" t="s">
        <v>2221</v>
      </c>
      <c r="C110" s="561">
        <v>5</v>
      </c>
      <c r="D110" s="590">
        <v>7</v>
      </c>
      <c r="E110" s="582">
        <f t="shared" si="16"/>
        <v>1.4</v>
      </c>
      <c r="F110" s="590">
        <v>15</v>
      </c>
      <c r="G110" s="590">
        <v>3</v>
      </c>
      <c r="H110" s="582">
        <f t="shared" si="17"/>
        <v>0.2</v>
      </c>
      <c r="I110" s="597">
        <f t="shared" ref="I110:J116" si="18">+C110+F110</f>
        <v>20</v>
      </c>
      <c r="J110" s="554">
        <f t="shared" si="18"/>
        <v>10</v>
      </c>
      <c r="K110" s="555">
        <f t="shared" ref="K110:K116" si="19">+J110/I110</f>
        <v>0.5</v>
      </c>
    </row>
    <row r="111" spans="1:11" ht="25.5">
      <c r="A111" s="562" t="s">
        <v>2222</v>
      </c>
      <c r="B111" s="563" t="s">
        <v>2223</v>
      </c>
      <c r="C111" s="561">
        <v>10</v>
      </c>
      <c r="D111" s="590">
        <v>1</v>
      </c>
      <c r="E111" s="582">
        <f t="shared" si="16"/>
        <v>0.1</v>
      </c>
      <c r="F111" s="590">
        <v>10</v>
      </c>
      <c r="G111" s="590">
        <v>1</v>
      </c>
      <c r="H111" s="582">
        <f t="shared" si="17"/>
        <v>0.1</v>
      </c>
      <c r="I111" s="597">
        <f t="shared" si="18"/>
        <v>20</v>
      </c>
      <c r="J111" s="554">
        <f t="shared" si="18"/>
        <v>2</v>
      </c>
      <c r="K111" s="555">
        <f t="shared" si="19"/>
        <v>0.1</v>
      </c>
    </row>
    <row r="112" spans="1:11" ht="25.5">
      <c r="A112" s="562" t="s">
        <v>2224</v>
      </c>
      <c r="B112" s="563" t="s">
        <v>2225</v>
      </c>
      <c r="C112" s="561">
        <v>20</v>
      </c>
      <c r="D112" s="590">
        <v>18</v>
      </c>
      <c r="E112" s="582">
        <f t="shared" si="16"/>
        <v>0.9</v>
      </c>
      <c r="F112" s="590">
        <v>25</v>
      </c>
      <c r="G112" s="590">
        <v>4</v>
      </c>
      <c r="H112" s="582">
        <f t="shared" si="17"/>
        <v>0.16</v>
      </c>
      <c r="I112" s="597">
        <f t="shared" si="18"/>
        <v>45</v>
      </c>
      <c r="J112" s="554">
        <f t="shared" si="18"/>
        <v>22</v>
      </c>
      <c r="K112" s="555">
        <f t="shared" si="19"/>
        <v>0.48888888888888887</v>
      </c>
    </row>
    <row r="113" spans="1:11" ht="25.5">
      <c r="A113" s="562" t="s">
        <v>2226</v>
      </c>
      <c r="B113" s="563" t="s">
        <v>2227</v>
      </c>
      <c r="C113" s="561"/>
      <c r="D113" s="590">
        <v>1</v>
      </c>
      <c r="E113" s="582" t="e">
        <f t="shared" si="16"/>
        <v>#DIV/0!</v>
      </c>
      <c r="F113" s="590"/>
      <c r="G113" s="590"/>
      <c r="H113" s="582" t="e">
        <f t="shared" si="17"/>
        <v>#DIV/0!</v>
      </c>
      <c r="I113" s="597">
        <f t="shared" si="18"/>
        <v>0</v>
      </c>
      <c r="J113" s="554">
        <f t="shared" si="18"/>
        <v>1</v>
      </c>
      <c r="K113" s="555" t="e">
        <f t="shared" si="19"/>
        <v>#DIV/0!</v>
      </c>
    </row>
    <row r="114" spans="1:11" ht="25.5">
      <c r="A114" s="562" t="s">
        <v>2228</v>
      </c>
      <c r="B114" s="563" t="s">
        <v>2229</v>
      </c>
      <c r="C114" s="561"/>
      <c r="D114" s="590"/>
      <c r="E114" s="582" t="e">
        <f t="shared" si="16"/>
        <v>#DIV/0!</v>
      </c>
      <c r="F114" s="590">
        <v>1</v>
      </c>
      <c r="G114" s="590"/>
      <c r="H114" s="582">
        <f t="shared" si="17"/>
        <v>0</v>
      </c>
      <c r="I114" s="597">
        <f t="shared" si="18"/>
        <v>1</v>
      </c>
      <c r="J114" s="554">
        <f t="shared" si="18"/>
        <v>0</v>
      </c>
      <c r="K114" s="555">
        <f t="shared" si="19"/>
        <v>0</v>
      </c>
    </row>
    <row r="115" spans="1:11" ht="25.5">
      <c r="A115" s="562" t="s">
        <v>2230</v>
      </c>
      <c r="B115" s="563" t="s">
        <v>2231</v>
      </c>
      <c r="C115" s="561"/>
      <c r="D115" s="590">
        <v>1</v>
      </c>
      <c r="E115" s="582" t="e">
        <f t="shared" si="16"/>
        <v>#DIV/0!</v>
      </c>
      <c r="F115" s="590"/>
      <c r="G115" s="590"/>
      <c r="H115" s="582" t="e">
        <f t="shared" si="17"/>
        <v>#DIV/0!</v>
      </c>
      <c r="I115" s="597">
        <f t="shared" si="18"/>
        <v>0</v>
      </c>
      <c r="J115" s="554">
        <f t="shared" si="18"/>
        <v>1</v>
      </c>
      <c r="K115" s="555" t="e">
        <f t="shared" si="19"/>
        <v>#DIV/0!</v>
      </c>
    </row>
    <row r="116" spans="1:11" ht="38.25">
      <c r="A116" s="562" t="s">
        <v>2232</v>
      </c>
      <c r="B116" s="568" t="s">
        <v>2233</v>
      </c>
      <c r="C116" s="561">
        <v>270</v>
      </c>
      <c r="D116" s="590">
        <v>84</v>
      </c>
      <c r="E116" s="582">
        <f t="shared" si="16"/>
        <v>0.31111111111111112</v>
      </c>
      <c r="F116" s="590">
        <v>70</v>
      </c>
      <c r="G116" s="590">
        <v>18</v>
      </c>
      <c r="H116" s="582">
        <f t="shared" si="17"/>
        <v>0.25714285714285712</v>
      </c>
      <c r="I116" s="597">
        <f t="shared" si="18"/>
        <v>340</v>
      </c>
      <c r="J116" s="554">
        <f t="shared" si="18"/>
        <v>102</v>
      </c>
      <c r="K116" s="555">
        <f t="shared" si="19"/>
        <v>0.3</v>
      </c>
    </row>
    <row r="117" spans="1:11">
      <c r="A117" s="2253"/>
      <c r="B117" s="2254"/>
      <c r="C117" s="2254"/>
      <c r="D117" s="2254"/>
      <c r="E117" s="2254"/>
      <c r="F117" s="2254"/>
      <c r="G117" s="2254"/>
      <c r="H117" s="2254"/>
      <c r="I117" s="2254"/>
      <c r="J117" s="2254"/>
      <c r="K117" s="2255"/>
    </row>
    <row r="118" spans="1:11" ht="38.25">
      <c r="A118" s="575"/>
      <c r="B118" s="576" t="s">
        <v>2234</v>
      </c>
      <c r="C118" s="2239"/>
      <c r="D118" s="2240"/>
      <c r="E118" s="2240"/>
      <c r="F118" s="2240"/>
      <c r="G118" s="2240"/>
      <c r="H118" s="2240"/>
      <c r="I118" s="2240"/>
      <c r="J118" s="2240"/>
      <c r="K118" s="2240"/>
    </row>
    <row r="119" spans="1:11">
      <c r="A119" s="575"/>
      <c r="B119" s="599" t="s">
        <v>257</v>
      </c>
      <c r="C119" s="581">
        <v>3450</v>
      </c>
      <c r="D119" s="581">
        <v>1673</v>
      </c>
      <c r="E119" s="582">
        <f>+D119/C119</f>
        <v>0.48492753623188406</v>
      </c>
      <c r="F119" s="581">
        <v>1720</v>
      </c>
      <c r="G119" s="581">
        <v>787</v>
      </c>
      <c r="H119" s="582">
        <f>+G119/F119</f>
        <v>0.45755813953488372</v>
      </c>
      <c r="I119" s="583">
        <f>+C119+F119</f>
        <v>5170</v>
      </c>
      <c r="J119" s="554">
        <f>+D119+G119</f>
        <v>2460</v>
      </c>
      <c r="K119" s="555">
        <f>+J119/I119</f>
        <v>0.47582205029013541</v>
      </c>
    </row>
    <row r="120" spans="1:11">
      <c r="A120" s="575"/>
      <c r="B120" s="600" t="s">
        <v>258</v>
      </c>
      <c r="C120" s="558">
        <f t="shared" ref="C120:J120" si="20">SUM(C121:C186)</f>
        <v>3925</v>
      </c>
      <c r="D120" s="558">
        <f t="shared" si="20"/>
        <v>1794</v>
      </c>
      <c r="E120" s="582">
        <f t="shared" ref="E120:E183" si="21">+D120/C120</f>
        <v>0.4570700636942675</v>
      </c>
      <c r="F120" s="558">
        <f t="shared" si="20"/>
        <v>1648</v>
      </c>
      <c r="G120" s="558">
        <f t="shared" si="20"/>
        <v>811</v>
      </c>
      <c r="H120" s="582">
        <f t="shared" ref="H120:H183" si="22">+G120/F120</f>
        <v>0.49211165048543687</v>
      </c>
      <c r="I120" s="558">
        <f t="shared" si="20"/>
        <v>5572</v>
      </c>
      <c r="J120" s="558">
        <f t="shared" si="20"/>
        <v>2605</v>
      </c>
      <c r="K120" s="555">
        <f>+J120/I120</f>
        <v>0.46751615218951903</v>
      </c>
    </row>
    <row r="121" spans="1:11">
      <c r="A121" s="559" t="s">
        <v>1987</v>
      </c>
      <c r="B121" s="601" t="s">
        <v>1988</v>
      </c>
      <c r="C121" s="587">
        <v>700</v>
      </c>
      <c r="D121" s="588">
        <v>146</v>
      </c>
      <c r="E121" s="582">
        <f t="shared" si="21"/>
        <v>0.20857142857142857</v>
      </c>
      <c r="F121" s="588">
        <v>400</v>
      </c>
      <c r="G121" s="588">
        <v>140</v>
      </c>
      <c r="H121" s="582">
        <f t="shared" si="22"/>
        <v>0.35</v>
      </c>
      <c r="I121" s="583">
        <f>+C121+F121</f>
        <v>1100</v>
      </c>
      <c r="J121" s="558">
        <f>+D121+G121</f>
        <v>286</v>
      </c>
      <c r="K121" s="555">
        <f t="shared" ref="K121:K184" si="23">+J121/I121</f>
        <v>0.26</v>
      </c>
    </row>
    <row r="122" spans="1:11" ht="25.5">
      <c r="A122" s="559" t="s">
        <v>1989</v>
      </c>
      <c r="B122" s="560" t="s">
        <v>2235</v>
      </c>
      <c r="C122" s="561">
        <v>950</v>
      </c>
      <c r="D122" s="590">
        <v>512</v>
      </c>
      <c r="E122" s="582">
        <f t="shared" si="21"/>
        <v>0.53894736842105262</v>
      </c>
      <c r="F122" s="590">
        <v>350</v>
      </c>
      <c r="G122" s="590">
        <v>243</v>
      </c>
      <c r="H122" s="582">
        <f t="shared" si="22"/>
        <v>0.69428571428571428</v>
      </c>
      <c r="I122" s="583">
        <f t="shared" ref="I122:J137" si="24">+C122+F122</f>
        <v>1300</v>
      </c>
      <c r="J122" s="558">
        <f t="shared" si="24"/>
        <v>755</v>
      </c>
      <c r="K122" s="555">
        <f t="shared" si="23"/>
        <v>0.58076923076923082</v>
      </c>
    </row>
    <row r="123" spans="1:11" ht="25.5">
      <c r="A123" s="562" t="s">
        <v>2236</v>
      </c>
      <c r="B123" s="563" t="s">
        <v>2237</v>
      </c>
      <c r="C123" s="561"/>
      <c r="D123" s="590"/>
      <c r="E123" s="582" t="e">
        <f t="shared" si="21"/>
        <v>#DIV/0!</v>
      </c>
      <c r="F123" s="590"/>
      <c r="G123" s="590"/>
      <c r="H123" s="582" t="e">
        <f t="shared" si="22"/>
        <v>#DIV/0!</v>
      </c>
      <c r="I123" s="583">
        <f t="shared" si="24"/>
        <v>0</v>
      </c>
      <c r="J123" s="558">
        <f t="shared" si="24"/>
        <v>0</v>
      </c>
      <c r="K123" s="555" t="e">
        <f t="shared" si="23"/>
        <v>#DIV/0!</v>
      </c>
    </row>
    <row r="124" spans="1:11" ht="38.25">
      <c r="A124" s="562" t="s">
        <v>2238</v>
      </c>
      <c r="B124" s="563" t="s">
        <v>2239</v>
      </c>
      <c r="C124" s="561"/>
      <c r="D124" s="590"/>
      <c r="E124" s="582" t="e">
        <f t="shared" si="21"/>
        <v>#DIV/0!</v>
      </c>
      <c r="F124" s="590"/>
      <c r="G124" s="590"/>
      <c r="H124" s="582" t="e">
        <f t="shared" si="22"/>
        <v>#DIV/0!</v>
      </c>
      <c r="I124" s="583">
        <f t="shared" si="24"/>
        <v>0</v>
      </c>
      <c r="J124" s="558">
        <f t="shared" si="24"/>
        <v>0</v>
      </c>
      <c r="K124" s="555" t="e">
        <f t="shared" si="23"/>
        <v>#DIV/0!</v>
      </c>
    </row>
    <row r="125" spans="1:11" ht="25.5">
      <c r="A125" s="562" t="s">
        <v>2240</v>
      </c>
      <c r="B125" s="563" t="s">
        <v>2241</v>
      </c>
      <c r="C125" s="561"/>
      <c r="D125" s="590"/>
      <c r="E125" s="582" t="e">
        <f t="shared" si="21"/>
        <v>#DIV/0!</v>
      </c>
      <c r="F125" s="590"/>
      <c r="G125" s="590"/>
      <c r="H125" s="582" t="e">
        <f t="shared" si="22"/>
        <v>#DIV/0!</v>
      </c>
      <c r="I125" s="583">
        <f t="shared" si="24"/>
        <v>0</v>
      </c>
      <c r="J125" s="558">
        <f t="shared" si="24"/>
        <v>0</v>
      </c>
      <c r="K125" s="555" t="e">
        <f t="shared" si="23"/>
        <v>#DIV/0!</v>
      </c>
    </row>
    <row r="126" spans="1:11" ht="38.25">
      <c r="A126" s="562" t="s">
        <v>2242</v>
      </c>
      <c r="B126" s="563" t="s">
        <v>2243</v>
      </c>
      <c r="C126" s="561"/>
      <c r="D126" s="590"/>
      <c r="E126" s="582" t="e">
        <f t="shared" si="21"/>
        <v>#DIV/0!</v>
      </c>
      <c r="F126" s="590"/>
      <c r="G126" s="590"/>
      <c r="H126" s="582" t="e">
        <f t="shared" si="22"/>
        <v>#DIV/0!</v>
      </c>
      <c r="I126" s="583">
        <f t="shared" si="24"/>
        <v>0</v>
      </c>
      <c r="J126" s="558">
        <f t="shared" si="24"/>
        <v>0</v>
      </c>
      <c r="K126" s="555" t="e">
        <f t="shared" si="23"/>
        <v>#DIV/0!</v>
      </c>
    </row>
    <row r="127" spans="1:11">
      <c r="A127" s="562" t="s">
        <v>2244</v>
      </c>
      <c r="B127" s="563" t="s">
        <v>2245</v>
      </c>
      <c r="C127" s="561">
        <v>1</v>
      </c>
      <c r="D127" s="590">
        <v>1</v>
      </c>
      <c r="E127" s="582">
        <f t="shared" si="21"/>
        <v>1</v>
      </c>
      <c r="F127" s="590"/>
      <c r="G127" s="590"/>
      <c r="H127" s="582" t="e">
        <f t="shared" si="22"/>
        <v>#DIV/0!</v>
      </c>
      <c r="I127" s="583">
        <f t="shared" si="24"/>
        <v>1</v>
      </c>
      <c r="J127" s="558">
        <f t="shared" si="24"/>
        <v>1</v>
      </c>
      <c r="K127" s="555">
        <f t="shared" si="23"/>
        <v>1</v>
      </c>
    </row>
    <row r="128" spans="1:11" ht="25.5">
      <c r="A128" s="562" t="s">
        <v>2246</v>
      </c>
      <c r="B128" s="563" t="s">
        <v>2247</v>
      </c>
      <c r="C128" s="561">
        <v>3</v>
      </c>
      <c r="D128" s="590">
        <v>3</v>
      </c>
      <c r="E128" s="582">
        <f t="shared" si="21"/>
        <v>1</v>
      </c>
      <c r="F128" s="590"/>
      <c r="G128" s="590"/>
      <c r="H128" s="582" t="e">
        <f t="shared" si="22"/>
        <v>#DIV/0!</v>
      </c>
      <c r="I128" s="583">
        <f t="shared" si="24"/>
        <v>3</v>
      </c>
      <c r="J128" s="558">
        <f t="shared" si="24"/>
        <v>3</v>
      </c>
      <c r="K128" s="555">
        <f t="shared" si="23"/>
        <v>1</v>
      </c>
    </row>
    <row r="129" spans="1:11">
      <c r="A129" s="562" t="s">
        <v>2004</v>
      </c>
      <c r="B129" s="563" t="s">
        <v>2005</v>
      </c>
      <c r="C129" s="561"/>
      <c r="D129" s="590"/>
      <c r="E129" s="582" t="e">
        <f t="shared" si="21"/>
        <v>#DIV/0!</v>
      </c>
      <c r="F129" s="590"/>
      <c r="G129" s="590"/>
      <c r="H129" s="582" t="e">
        <f t="shared" si="22"/>
        <v>#DIV/0!</v>
      </c>
      <c r="I129" s="583">
        <f t="shared" si="24"/>
        <v>0</v>
      </c>
      <c r="J129" s="558">
        <f t="shared" si="24"/>
        <v>0</v>
      </c>
      <c r="K129" s="555" t="e">
        <f t="shared" si="23"/>
        <v>#DIV/0!</v>
      </c>
    </row>
    <row r="130" spans="1:11" ht="38.25">
      <c r="A130" s="562" t="s">
        <v>2248</v>
      </c>
      <c r="B130" s="563" t="s">
        <v>2249</v>
      </c>
      <c r="C130" s="561"/>
      <c r="D130" s="590"/>
      <c r="E130" s="582" t="e">
        <f t="shared" si="21"/>
        <v>#DIV/0!</v>
      </c>
      <c r="F130" s="590"/>
      <c r="G130" s="590"/>
      <c r="H130" s="582" t="e">
        <f t="shared" si="22"/>
        <v>#DIV/0!</v>
      </c>
      <c r="I130" s="583">
        <f t="shared" si="24"/>
        <v>0</v>
      </c>
      <c r="J130" s="558">
        <f t="shared" si="24"/>
        <v>0</v>
      </c>
      <c r="K130" s="555" t="e">
        <f t="shared" si="23"/>
        <v>#DIV/0!</v>
      </c>
    </row>
    <row r="131" spans="1:11" ht="25.5">
      <c r="A131" s="562" t="s">
        <v>2250</v>
      </c>
      <c r="B131" s="563" t="s">
        <v>2251</v>
      </c>
      <c r="C131" s="561">
        <v>10</v>
      </c>
      <c r="D131" s="590">
        <v>6</v>
      </c>
      <c r="E131" s="582">
        <f t="shared" si="21"/>
        <v>0.6</v>
      </c>
      <c r="F131" s="590"/>
      <c r="G131" s="590"/>
      <c r="H131" s="582" t="e">
        <f t="shared" si="22"/>
        <v>#DIV/0!</v>
      </c>
      <c r="I131" s="583">
        <f t="shared" si="24"/>
        <v>10</v>
      </c>
      <c r="J131" s="558">
        <f t="shared" si="24"/>
        <v>6</v>
      </c>
      <c r="K131" s="555">
        <f t="shared" si="23"/>
        <v>0.6</v>
      </c>
    </row>
    <row r="132" spans="1:11" ht="38.25">
      <c r="A132" s="562" t="s">
        <v>2006</v>
      </c>
      <c r="B132" s="563" t="s">
        <v>2252</v>
      </c>
      <c r="C132" s="561"/>
      <c r="D132" s="590">
        <v>1</v>
      </c>
      <c r="E132" s="582" t="e">
        <f t="shared" si="21"/>
        <v>#DIV/0!</v>
      </c>
      <c r="F132" s="590"/>
      <c r="G132" s="590"/>
      <c r="H132" s="582" t="e">
        <f t="shared" si="22"/>
        <v>#DIV/0!</v>
      </c>
      <c r="I132" s="583">
        <f t="shared" si="24"/>
        <v>0</v>
      </c>
      <c r="J132" s="558">
        <f t="shared" si="24"/>
        <v>1</v>
      </c>
      <c r="K132" s="555" t="e">
        <f t="shared" si="23"/>
        <v>#DIV/0!</v>
      </c>
    </row>
    <row r="133" spans="1:11" ht="25.5">
      <c r="A133" s="562" t="s">
        <v>2253</v>
      </c>
      <c r="B133" s="563" t="s">
        <v>2254</v>
      </c>
      <c r="C133" s="561"/>
      <c r="D133" s="590"/>
      <c r="E133" s="582" t="e">
        <f t="shared" si="21"/>
        <v>#DIV/0!</v>
      </c>
      <c r="F133" s="590">
        <v>1</v>
      </c>
      <c r="G133" s="590"/>
      <c r="H133" s="582">
        <f t="shared" si="22"/>
        <v>0</v>
      </c>
      <c r="I133" s="583"/>
      <c r="J133" s="558">
        <f t="shared" si="24"/>
        <v>0</v>
      </c>
      <c r="K133" s="555" t="e">
        <f t="shared" si="23"/>
        <v>#DIV/0!</v>
      </c>
    </row>
    <row r="134" spans="1:11" ht="38.25">
      <c r="A134" s="562" t="s">
        <v>2255</v>
      </c>
      <c r="B134" s="563" t="s">
        <v>2256</v>
      </c>
      <c r="C134" s="561">
        <v>2</v>
      </c>
      <c r="D134" s="590"/>
      <c r="E134" s="582">
        <f t="shared" si="21"/>
        <v>0</v>
      </c>
      <c r="F134" s="590">
        <v>1</v>
      </c>
      <c r="G134" s="590"/>
      <c r="H134" s="582">
        <f t="shared" si="22"/>
        <v>0</v>
      </c>
      <c r="I134" s="583">
        <f t="shared" ref="I134:J165" si="25">+C134+F134</f>
        <v>3</v>
      </c>
      <c r="J134" s="558">
        <f t="shared" si="24"/>
        <v>0</v>
      </c>
      <c r="K134" s="555">
        <f t="shared" si="23"/>
        <v>0</v>
      </c>
    </row>
    <row r="135" spans="1:11" ht="25.5">
      <c r="A135" s="562" t="s">
        <v>2257</v>
      </c>
      <c r="B135" s="563" t="s">
        <v>2258</v>
      </c>
      <c r="C135" s="561">
        <v>5</v>
      </c>
      <c r="D135" s="590">
        <v>4</v>
      </c>
      <c r="E135" s="582">
        <f t="shared" si="21"/>
        <v>0.8</v>
      </c>
      <c r="F135" s="590">
        <v>3</v>
      </c>
      <c r="G135" s="590"/>
      <c r="H135" s="582">
        <f t="shared" si="22"/>
        <v>0</v>
      </c>
      <c r="I135" s="583">
        <f t="shared" si="25"/>
        <v>8</v>
      </c>
      <c r="J135" s="558">
        <f t="shared" si="24"/>
        <v>4</v>
      </c>
      <c r="K135" s="555">
        <f t="shared" si="23"/>
        <v>0.5</v>
      </c>
    </row>
    <row r="136" spans="1:11" ht="38.25">
      <c r="A136" s="562" t="s">
        <v>2259</v>
      </c>
      <c r="B136" s="563" t="s">
        <v>2260</v>
      </c>
      <c r="C136" s="561">
        <v>1</v>
      </c>
      <c r="D136" s="590">
        <v>5</v>
      </c>
      <c r="E136" s="582">
        <f t="shared" si="21"/>
        <v>5</v>
      </c>
      <c r="F136" s="590">
        <v>1</v>
      </c>
      <c r="G136" s="590"/>
      <c r="H136" s="582">
        <f t="shared" si="22"/>
        <v>0</v>
      </c>
      <c r="I136" s="583">
        <f t="shared" si="25"/>
        <v>2</v>
      </c>
      <c r="J136" s="558">
        <f t="shared" si="24"/>
        <v>5</v>
      </c>
      <c r="K136" s="555">
        <f t="shared" si="23"/>
        <v>2.5</v>
      </c>
    </row>
    <row r="137" spans="1:11" ht="25.5">
      <c r="A137" s="562" t="s">
        <v>2261</v>
      </c>
      <c r="B137" s="563" t="s">
        <v>2262</v>
      </c>
      <c r="C137" s="561"/>
      <c r="D137" s="590">
        <v>1</v>
      </c>
      <c r="E137" s="582" t="e">
        <f t="shared" si="21"/>
        <v>#DIV/0!</v>
      </c>
      <c r="F137" s="590">
        <v>1</v>
      </c>
      <c r="G137" s="590"/>
      <c r="H137" s="582">
        <f t="shared" si="22"/>
        <v>0</v>
      </c>
      <c r="I137" s="583">
        <f t="shared" si="25"/>
        <v>1</v>
      </c>
      <c r="J137" s="558">
        <f t="shared" si="24"/>
        <v>1</v>
      </c>
      <c r="K137" s="555">
        <f t="shared" si="23"/>
        <v>1</v>
      </c>
    </row>
    <row r="138" spans="1:11" ht="38.25">
      <c r="A138" s="562" t="s">
        <v>2263</v>
      </c>
      <c r="B138" s="563" t="s">
        <v>2264</v>
      </c>
      <c r="C138" s="561">
        <v>3</v>
      </c>
      <c r="D138" s="590"/>
      <c r="E138" s="582">
        <f t="shared" si="21"/>
        <v>0</v>
      </c>
      <c r="F138" s="590"/>
      <c r="G138" s="590"/>
      <c r="H138" s="582" t="e">
        <f t="shared" si="22"/>
        <v>#DIV/0!</v>
      </c>
      <c r="I138" s="583">
        <f t="shared" si="25"/>
        <v>3</v>
      </c>
      <c r="J138" s="558">
        <f t="shared" si="25"/>
        <v>0</v>
      </c>
      <c r="K138" s="555">
        <f t="shared" si="23"/>
        <v>0</v>
      </c>
    </row>
    <row r="139" spans="1:11" ht="25.5">
      <c r="A139" s="562" t="s">
        <v>2265</v>
      </c>
      <c r="B139" s="563" t="s">
        <v>2266</v>
      </c>
      <c r="C139" s="561">
        <v>3</v>
      </c>
      <c r="D139" s="590">
        <v>2</v>
      </c>
      <c r="E139" s="582">
        <f t="shared" si="21"/>
        <v>0.66666666666666663</v>
      </c>
      <c r="F139" s="590">
        <v>3</v>
      </c>
      <c r="G139" s="590"/>
      <c r="H139" s="582">
        <f t="shared" si="22"/>
        <v>0</v>
      </c>
      <c r="I139" s="583">
        <f t="shared" si="25"/>
        <v>6</v>
      </c>
      <c r="J139" s="558">
        <f t="shared" si="25"/>
        <v>2</v>
      </c>
      <c r="K139" s="555">
        <f t="shared" si="23"/>
        <v>0.33333333333333331</v>
      </c>
    </row>
    <row r="140" spans="1:11" ht="25.5">
      <c r="A140" s="562" t="s">
        <v>2267</v>
      </c>
      <c r="B140" s="563" t="s">
        <v>2268</v>
      </c>
      <c r="C140" s="561">
        <v>10</v>
      </c>
      <c r="D140" s="590">
        <v>4</v>
      </c>
      <c r="E140" s="582">
        <f t="shared" si="21"/>
        <v>0.4</v>
      </c>
      <c r="F140" s="590">
        <v>2</v>
      </c>
      <c r="G140" s="590">
        <v>4</v>
      </c>
      <c r="H140" s="582">
        <f t="shared" si="22"/>
        <v>2</v>
      </c>
      <c r="I140" s="583">
        <f t="shared" si="25"/>
        <v>12</v>
      </c>
      <c r="J140" s="558">
        <f t="shared" si="25"/>
        <v>8</v>
      </c>
      <c r="K140" s="555">
        <f t="shared" si="23"/>
        <v>0.66666666666666663</v>
      </c>
    </row>
    <row r="141" spans="1:11" ht="25.5">
      <c r="A141" s="562" t="s">
        <v>2269</v>
      </c>
      <c r="B141" s="563" t="s">
        <v>2270</v>
      </c>
      <c r="C141" s="561">
        <v>1</v>
      </c>
      <c r="D141" s="590"/>
      <c r="E141" s="582">
        <f t="shared" si="21"/>
        <v>0</v>
      </c>
      <c r="F141" s="590"/>
      <c r="G141" s="590"/>
      <c r="H141" s="582" t="e">
        <f t="shared" si="22"/>
        <v>#DIV/0!</v>
      </c>
      <c r="I141" s="583">
        <f t="shared" si="25"/>
        <v>1</v>
      </c>
      <c r="J141" s="558">
        <f t="shared" si="25"/>
        <v>0</v>
      </c>
      <c r="K141" s="555">
        <f t="shared" si="23"/>
        <v>0</v>
      </c>
    </row>
    <row r="142" spans="1:11" ht="38.25">
      <c r="A142" s="562" t="s">
        <v>2271</v>
      </c>
      <c r="B142" s="563" t="s">
        <v>2272</v>
      </c>
      <c r="C142" s="561">
        <v>5</v>
      </c>
      <c r="D142" s="590">
        <v>4</v>
      </c>
      <c r="E142" s="582">
        <f t="shared" si="21"/>
        <v>0.8</v>
      </c>
      <c r="F142" s="590"/>
      <c r="G142" s="590">
        <v>2</v>
      </c>
      <c r="H142" s="582" t="e">
        <f t="shared" si="22"/>
        <v>#DIV/0!</v>
      </c>
      <c r="I142" s="583">
        <f t="shared" si="25"/>
        <v>5</v>
      </c>
      <c r="J142" s="558">
        <f t="shared" si="25"/>
        <v>6</v>
      </c>
      <c r="K142" s="555">
        <f t="shared" si="23"/>
        <v>1.2</v>
      </c>
    </row>
    <row r="143" spans="1:11" ht="38.25">
      <c r="A143" s="562" t="s">
        <v>2018</v>
      </c>
      <c r="B143" s="563" t="s">
        <v>2273</v>
      </c>
      <c r="C143" s="561">
        <v>20</v>
      </c>
      <c r="D143" s="590">
        <v>13</v>
      </c>
      <c r="E143" s="582">
        <f t="shared" si="21"/>
        <v>0.65</v>
      </c>
      <c r="F143" s="590">
        <v>2</v>
      </c>
      <c r="G143" s="590"/>
      <c r="H143" s="582">
        <f t="shared" si="22"/>
        <v>0</v>
      </c>
      <c r="I143" s="583">
        <f t="shared" si="25"/>
        <v>22</v>
      </c>
      <c r="J143" s="558">
        <f t="shared" si="25"/>
        <v>13</v>
      </c>
      <c r="K143" s="555">
        <f t="shared" si="23"/>
        <v>0.59090909090909094</v>
      </c>
    </row>
    <row r="144" spans="1:11" ht="25.5">
      <c r="A144" s="562" t="s">
        <v>2274</v>
      </c>
      <c r="B144" s="563" t="s">
        <v>2275</v>
      </c>
      <c r="C144" s="561"/>
      <c r="D144" s="590">
        <v>1</v>
      </c>
      <c r="E144" s="582" t="e">
        <f t="shared" si="21"/>
        <v>#DIV/0!</v>
      </c>
      <c r="F144" s="590"/>
      <c r="G144" s="590"/>
      <c r="H144" s="582" t="e">
        <f t="shared" si="22"/>
        <v>#DIV/0!</v>
      </c>
      <c r="I144" s="583">
        <f t="shared" si="25"/>
        <v>0</v>
      </c>
      <c r="J144" s="558">
        <f t="shared" si="25"/>
        <v>1</v>
      </c>
      <c r="K144" s="555" t="e">
        <f t="shared" si="23"/>
        <v>#DIV/0!</v>
      </c>
    </row>
    <row r="145" spans="1:11" ht="38.25">
      <c r="A145" s="562" t="s">
        <v>2276</v>
      </c>
      <c r="B145" s="563" t="s">
        <v>2277</v>
      </c>
      <c r="C145" s="561"/>
      <c r="D145" s="590"/>
      <c r="E145" s="582" t="e">
        <f t="shared" si="21"/>
        <v>#DIV/0!</v>
      </c>
      <c r="F145" s="590">
        <v>1</v>
      </c>
      <c r="G145" s="590"/>
      <c r="H145" s="582">
        <f t="shared" si="22"/>
        <v>0</v>
      </c>
      <c r="I145" s="583">
        <f t="shared" si="25"/>
        <v>1</v>
      </c>
      <c r="J145" s="558">
        <f t="shared" si="25"/>
        <v>0</v>
      </c>
      <c r="K145" s="555">
        <f t="shared" si="23"/>
        <v>0</v>
      </c>
    </row>
    <row r="146" spans="1:11" ht="25.5">
      <c r="A146" s="562" t="s">
        <v>1985</v>
      </c>
      <c r="B146" s="563" t="s">
        <v>1993</v>
      </c>
      <c r="C146" s="561">
        <v>10</v>
      </c>
      <c r="D146" s="590">
        <v>4</v>
      </c>
      <c r="E146" s="582">
        <f t="shared" si="21"/>
        <v>0.4</v>
      </c>
      <c r="F146" s="590">
        <v>2</v>
      </c>
      <c r="G146" s="590"/>
      <c r="H146" s="582">
        <f t="shared" si="22"/>
        <v>0</v>
      </c>
      <c r="I146" s="583">
        <f t="shared" si="25"/>
        <v>12</v>
      </c>
      <c r="J146" s="558">
        <f t="shared" si="25"/>
        <v>4</v>
      </c>
      <c r="K146" s="555">
        <f t="shared" si="23"/>
        <v>0.33333333333333331</v>
      </c>
    </row>
    <row r="147" spans="1:11" ht="38.25">
      <c r="A147" s="562" t="s">
        <v>2020</v>
      </c>
      <c r="B147" s="563" t="s">
        <v>2278</v>
      </c>
      <c r="C147" s="561">
        <v>85</v>
      </c>
      <c r="D147" s="590">
        <v>46</v>
      </c>
      <c r="E147" s="582">
        <f t="shared" si="21"/>
        <v>0.54117647058823526</v>
      </c>
      <c r="F147" s="590">
        <v>30</v>
      </c>
      <c r="G147" s="590">
        <v>14</v>
      </c>
      <c r="H147" s="582">
        <f t="shared" si="22"/>
        <v>0.46666666666666667</v>
      </c>
      <c r="I147" s="583">
        <f t="shared" si="25"/>
        <v>115</v>
      </c>
      <c r="J147" s="558">
        <f t="shared" si="25"/>
        <v>60</v>
      </c>
      <c r="K147" s="555">
        <f t="shared" si="23"/>
        <v>0.52173913043478259</v>
      </c>
    </row>
    <row r="148" spans="1:11" ht="25.5">
      <c r="A148" s="562" t="s">
        <v>2008</v>
      </c>
      <c r="B148" s="563" t="s">
        <v>2279</v>
      </c>
      <c r="C148" s="561">
        <v>30</v>
      </c>
      <c r="D148" s="590">
        <v>10</v>
      </c>
      <c r="E148" s="582">
        <f t="shared" si="21"/>
        <v>0.33333333333333331</v>
      </c>
      <c r="F148" s="590">
        <v>30</v>
      </c>
      <c r="G148" s="590">
        <v>10</v>
      </c>
      <c r="H148" s="582">
        <f t="shared" si="22"/>
        <v>0.33333333333333331</v>
      </c>
      <c r="I148" s="583">
        <f t="shared" si="25"/>
        <v>60</v>
      </c>
      <c r="J148" s="558">
        <f t="shared" si="25"/>
        <v>20</v>
      </c>
      <c r="K148" s="555">
        <f t="shared" si="23"/>
        <v>0.33333333333333331</v>
      </c>
    </row>
    <row r="149" spans="1:11" ht="25.5">
      <c r="A149" s="562" t="s">
        <v>1994</v>
      </c>
      <c r="B149" s="563" t="s">
        <v>2280</v>
      </c>
      <c r="C149" s="561">
        <v>25</v>
      </c>
      <c r="D149" s="590">
        <v>9</v>
      </c>
      <c r="E149" s="582">
        <f t="shared" si="21"/>
        <v>0.36</v>
      </c>
      <c r="F149" s="590">
        <v>15</v>
      </c>
      <c r="G149" s="590">
        <v>2</v>
      </c>
      <c r="H149" s="582">
        <f t="shared" si="22"/>
        <v>0.13333333333333333</v>
      </c>
      <c r="I149" s="583">
        <f t="shared" si="25"/>
        <v>40</v>
      </c>
      <c r="J149" s="558">
        <f t="shared" si="25"/>
        <v>11</v>
      </c>
      <c r="K149" s="555">
        <f t="shared" si="23"/>
        <v>0.27500000000000002</v>
      </c>
    </row>
    <row r="150" spans="1:11" ht="25.5">
      <c r="A150" s="562" t="s">
        <v>2010</v>
      </c>
      <c r="B150" s="563" t="s">
        <v>2281</v>
      </c>
      <c r="C150" s="561">
        <v>30</v>
      </c>
      <c r="D150" s="590">
        <v>31</v>
      </c>
      <c r="E150" s="582">
        <f t="shared" si="21"/>
        <v>1.0333333333333334</v>
      </c>
      <c r="F150" s="590">
        <v>15</v>
      </c>
      <c r="G150" s="590">
        <v>1</v>
      </c>
      <c r="H150" s="582">
        <f t="shared" si="22"/>
        <v>6.6666666666666666E-2</v>
      </c>
      <c r="I150" s="583">
        <f t="shared" si="25"/>
        <v>45</v>
      </c>
      <c r="J150" s="558">
        <f t="shared" si="25"/>
        <v>32</v>
      </c>
      <c r="K150" s="555">
        <f t="shared" si="23"/>
        <v>0.71111111111111114</v>
      </c>
    </row>
    <row r="151" spans="1:11" ht="38.25">
      <c r="A151" s="562" t="s">
        <v>2282</v>
      </c>
      <c r="B151" s="563" t="s">
        <v>2283</v>
      </c>
      <c r="C151" s="561"/>
      <c r="D151" s="590"/>
      <c r="E151" s="582" t="e">
        <f t="shared" si="21"/>
        <v>#DIV/0!</v>
      </c>
      <c r="F151" s="590"/>
      <c r="G151" s="590"/>
      <c r="H151" s="582" t="e">
        <f t="shared" si="22"/>
        <v>#DIV/0!</v>
      </c>
      <c r="I151" s="583">
        <f t="shared" si="25"/>
        <v>0</v>
      </c>
      <c r="J151" s="558">
        <f t="shared" si="25"/>
        <v>0</v>
      </c>
      <c r="K151" s="555" t="e">
        <f t="shared" si="23"/>
        <v>#DIV/0!</v>
      </c>
    </row>
    <row r="152" spans="1:11" ht="38.25">
      <c r="A152" s="562" t="s">
        <v>2284</v>
      </c>
      <c r="B152" s="563" t="s">
        <v>2285</v>
      </c>
      <c r="C152" s="561"/>
      <c r="D152" s="590"/>
      <c r="E152" s="582" t="e">
        <f t="shared" si="21"/>
        <v>#DIV/0!</v>
      </c>
      <c r="F152" s="590"/>
      <c r="G152" s="590"/>
      <c r="H152" s="582" t="e">
        <f t="shared" si="22"/>
        <v>#DIV/0!</v>
      </c>
      <c r="I152" s="583">
        <f t="shared" si="25"/>
        <v>0</v>
      </c>
      <c r="J152" s="558">
        <f t="shared" si="25"/>
        <v>0</v>
      </c>
      <c r="K152" s="555" t="e">
        <f t="shared" si="23"/>
        <v>#DIV/0!</v>
      </c>
    </row>
    <row r="153" spans="1:11" ht="25.5">
      <c r="A153" s="562" t="s">
        <v>2286</v>
      </c>
      <c r="B153" s="563" t="s">
        <v>2287</v>
      </c>
      <c r="C153" s="561"/>
      <c r="D153" s="590"/>
      <c r="E153" s="582" t="e">
        <f t="shared" si="21"/>
        <v>#DIV/0!</v>
      </c>
      <c r="F153" s="590"/>
      <c r="G153" s="590"/>
      <c r="H153" s="582" t="e">
        <f t="shared" si="22"/>
        <v>#DIV/0!</v>
      </c>
      <c r="I153" s="583">
        <f t="shared" si="25"/>
        <v>0</v>
      </c>
      <c r="J153" s="558">
        <f t="shared" si="25"/>
        <v>0</v>
      </c>
      <c r="K153" s="555" t="e">
        <f t="shared" si="23"/>
        <v>#DIV/0!</v>
      </c>
    </row>
    <row r="154" spans="1:11" ht="38.25">
      <c r="A154" s="562" t="s">
        <v>2288</v>
      </c>
      <c r="B154" s="563" t="s">
        <v>2289</v>
      </c>
      <c r="C154" s="561"/>
      <c r="D154" s="590"/>
      <c r="E154" s="582" t="e">
        <f t="shared" si="21"/>
        <v>#DIV/0!</v>
      </c>
      <c r="F154" s="590"/>
      <c r="G154" s="590"/>
      <c r="H154" s="582" t="e">
        <f t="shared" si="22"/>
        <v>#DIV/0!</v>
      </c>
      <c r="I154" s="583">
        <f t="shared" si="25"/>
        <v>0</v>
      </c>
      <c r="J154" s="558">
        <f t="shared" si="25"/>
        <v>0</v>
      </c>
      <c r="K154" s="555" t="e">
        <f t="shared" si="23"/>
        <v>#DIV/0!</v>
      </c>
    </row>
    <row r="155" spans="1:11">
      <c r="A155" s="562" t="s">
        <v>1996</v>
      </c>
      <c r="B155" s="563" t="s">
        <v>1997</v>
      </c>
      <c r="C155" s="561">
        <v>20</v>
      </c>
      <c r="D155" s="590">
        <v>3</v>
      </c>
      <c r="E155" s="582">
        <f t="shared" si="21"/>
        <v>0.15</v>
      </c>
      <c r="F155" s="590">
        <v>10</v>
      </c>
      <c r="G155" s="590">
        <v>6</v>
      </c>
      <c r="H155" s="582">
        <f t="shared" si="22"/>
        <v>0.6</v>
      </c>
      <c r="I155" s="583">
        <f t="shared" si="25"/>
        <v>30</v>
      </c>
      <c r="J155" s="558">
        <f t="shared" si="25"/>
        <v>9</v>
      </c>
      <c r="K155" s="555">
        <f t="shared" si="23"/>
        <v>0.3</v>
      </c>
    </row>
    <row r="156" spans="1:11" ht="25.5">
      <c r="A156" s="562" t="s">
        <v>2012</v>
      </c>
      <c r="B156" s="563" t="s">
        <v>2013</v>
      </c>
      <c r="C156" s="561">
        <v>3</v>
      </c>
      <c r="D156" s="590"/>
      <c r="E156" s="582">
        <f t="shared" si="21"/>
        <v>0</v>
      </c>
      <c r="F156" s="590">
        <v>10</v>
      </c>
      <c r="G156" s="590"/>
      <c r="H156" s="582">
        <f t="shared" si="22"/>
        <v>0</v>
      </c>
      <c r="I156" s="583">
        <f t="shared" si="25"/>
        <v>13</v>
      </c>
      <c r="J156" s="558">
        <f t="shared" si="25"/>
        <v>0</v>
      </c>
      <c r="K156" s="555">
        <f t="shared" si="23"/>
        <v>0</v>
      </c>
    </row>
    <row r="157" spans="1:11" ht="38.25">
      <c r="A157" s="562" t="s">
        <v>1998</v>
      </c>
      <c r="B157" s="563" t="s">
        <v>2290</v>
      </c>
      <c r="C157" s="561">
        <v>755</v>
      </c>
      <c r="D157" s="590">
        <v>379</v>
      </c>
      <c r="E157" s="582">
        <f t="shared" si="21"/>
        <v>0.50198675496688738</v>
      </c>
      <c r="F157" s="590">
        <v>350</v>
      </c>
      <c r="G157" s="590">
        <v>164</v>
      </c>
      <c r="H157" s="582">
        <f t="shared" si="22"/>
        <v>0.46857142857142858</v>
      </c>
      <c r="I157" s="583">
        <f t="shared" si="25"/>
        <v>1105</v>
      </c>
      <c r="J157" s="558">
        <f t="shared" si="25"/>
        <v>543</v>
      </c>
      <c r="K157" s="555">
        <f t="shared" si="23"/>
        <v>0.49140271493212667</v>
      </c>
    </row>
    <row r="158" spans="1:11" ht="38.25">
      <c r="A158" s="562" t="s">
        <v>2291</v>
      </c>
      <c r="B158" s="563" t="s">
        <v>2292</v>
      </c>
      <c r="C158" s="561">
        <v>50</v>
      </c>
      <c r="D158" s="590">
        <v>42</v>
      </c>
      <c r="E158" s="582">
        <f t="shared" si="21"/>
        <v>0.84</v>
      </c>
      <c r="F158" s="590">
        <v>15</v>
      </c>
      <c r="G158" s="590">
        <v>10</v>
      </c>
      <c r="H158" s="582">
        <f t="shared" si="22"/>
        <v>0.66666666666666663</v>
      </c>
      <c r="I158" s="583">
        <f t="shared" si="25"/>
        <v>65</v>
      </c>
      <c r="J158" s="558">
        <f t="shared" si="25"/>
        <v>52</v>
      </c>
      <c r="K158" s="555">
        <f t="shared" si="23"/>
        <v>0.8</v>
      </c>
    </row>
    <row r="159" spans="1:11">
      <c r="A159" s="562" t="s">
        <v>2000</v>
      </c>
      <c r="B159" s="563" t="s">
        <v>2001</v>
      </c>
      <c r="C159" s="561">
        <v>3</v>
      </c>
      <c r="D159" s="590"/>
      <c r="E159" s="582">
        <f t="shared" si="21"/>
        <v>0</v>
      </c>
      <c r="F159" s="590">
        <v>10</v>
      </c>
      <c r="G159" s="590">
        <v>2</v>
      </c>
      <c r="H159" s="582">
        <f t="shared" si="22"/>
        <v>0.2</v>
      </c>
      <c r="I159" s="583">
        <f t="shared" si="25"/>
        <v>13</v>
      </c>
      <c r="J159" s="558">
        <f t="shared" si="25"/>
        <v>2</v>
      </c>
      <c r="K159" s="555">
        <f t="shared" si="23"/>
        <v>0.15384615384615385</v>
      </c>
    </row>
    <row r="160" spans="1:11" ht="25.5">
      <c r="A160" s="562" t="s">
        <v>2293</v>
      </c>
      <c r="B160" s="563" t="s">
        <v>2294</v>
      </c>
      <c r="C160" s="561">
        <v>230</v>
      </c>
      <c r="D160" s="590">
        <v>89</v>
      </c>
      <c r="E160" s="582">
        <f t="shared" si="21"/>
        <v>0.38695652173913042</v>
      </c>
      <c r="F160" s="590">
        <v>85</v>
      </c>
      <c r="G160" s="590">
        <v>45</v>
      </c>
      <c r="H160" s="582">
        <f t="shared" si="22"/>
        <v>0.52941176470588236</v>
      </c>
      <c r="I160" s="583">
        <f t="shared" si="25"/>
        <v>315</v>
      </c>
      <c r="J160" s="558">
        <f t="shared" si="25"/>
        <v>134</v>
      </c>
      <c r="K160" s="555">
        <f t="shared" si="23"/>
        <v>0.42539682539682538</v>
      </c>
    </row>
    <row r="161" spans="1:11">
      <c r="A161" s="562" t="s">
        <v>1986</v>
      </c>
      <c r="B161" s="563" t="s">
        <v>2022</v>
      </c>
      <c r="C161" s="561">
        <v>20</v>
      </c>
      <c r="D161" s="590">
        <v>8</v>
      </c>
      <c r="E161" s="582">
        <f t="shared" si="21"/>
        <v>0.4</v>
      </c>
      <c r="F161" s="590">
        <v>10</v>
      </c>
      <c r="G161" s="590"/>
      <c r="H161" s="582">
        <f t="shared" si="22"/>
        <v>0</v>
      </c>
      <c r="I161" s="583">
        <f t="shared" si="25"/>
        <v>30</v>
      </c>
      <c r="J161" s="558">
        <f t="shared" si="25"/>
        <v>8</v>
      </c>
      <c r="K161" s="555">
        <f t="shared" si="23"/>
        <v>0.26666666666666666</v>
      </c>
    </row>
    <row r="162" spans="1:11" ht="25.5">
      <c r="A162" s="562" t="s">
        <v>2295</v>
      </c>
      <c r="B162" s="563" t="s">
        <v>2296</v>
      </c>
      <c r="C162" s="561">
        <v>3</v>
      </c>
      <c r="D162" s="590">
        <v>1</v>
      </c>
      <c r="E162" s="582">
        <f t="shared" si="21"/>
        <v>0.33333333333333331</v>
      </c>
      <c r="F162" s="590">
        <v>1</v>
      </c>
      <c r="G162" s="590">
        <v>1</v>
      </c>
      <c r="H162" s="582">
        <f t="shared" si="22"/>
        <v>1</v>
      </c>
      <c r="I162" s="583">
        <f t="shared" si="25"/>
        <v>4</v>
      </c>
      <c r="J162" s="558">
        <f t="shared" si="25"/>
        <v>2</v>
      </c>
      <c r="K162" s="555">
        <f t="shared" si="23"/>
        <v>0.5</v>
      </c>
    </row>
    <row r="163" spans="1:11" ht="25.5">
      <c r="A163" s="562" t="s">
        <v>2014</v>
      </c>
      <c r="B163" s="563" t="s">
        <v>2015</v>
      </c>
      <c r="C163" s="561"/>
      <c r="D163" s="590"/>
      <c r="E163" s="582" t="e">
        <f t="shared" si="21"/>
        <v>#DIV/0!</v>
      </c>
      <c r="F163" s="590">
        <v>2</v>
      </c>
      <c r="G163" s="590"/>
      <c r="H163" s="582">
        <f t="shared" si="22"/>
        <v>0</v>
      </c>
      <c r="I163" s="583">
        <f t="shared" si="25"/>
        <v>2</v>
      </c>
      <c r="J163" s="558">
        <f t="shared" si="25"/>
        <v>0</v>
      </c>
      <c r="K163" s="555">
        <f t="shared" si="23"/>
        <v>0</v>
      </c>
    </row>
    <row r="164" spans="1:11" ht="38.25">
      <c r="A164" s="562" t="s">
        <v>1991</v>
      </c>
      <c r="B164" s="563" t="s">
        <v>2297</v>
      </c>
      <c r="C164" s="561">
        <v>500</v>
      </c>
      <c r="D164" s="590">
        <v>257</v>
      </c>
      <c r="E164" s="582">
        <f t="shared" si="21"/>
        <v>0.51400000000000001</v>
      </c>
      <c r="F164" s="590">
        <v>140</v>
      </c>
      <c r="G164" s="590">
        <v>79</v>
      </c>
      <c r="H164" s="582">
        <f t="shared" si="22"/>
        <v>0.56428571428571428</v>
      </c>
      <c r="I164" s="583">
        <f t="shared" si="25"/>
        <v>640</v>
      </c>
      <c r="J164" s="558">
        <f t="shared" si="25"/>
        <v>336</v>
      </c>
      <c r="K164" s="555">
        <f t="shared" si="23"/>
        <v>0.52500000000000002</v>
      </c>
    </row>
    <row r="165" spans="1:11">
      <c r="A165" s="562" t="s">
        <v>2298</v>
      </c>
      <c r="B165" s="563" t="s">
        <v>2299</v>
      </c>
      <c r="C165" s="561">
        <v>15</v>
      </c>
      <c r="D165" s="590">
        <v>9</v>
      </c>
      <c r="E165" s="582">
        <f t="shared" si="21"/>
        <v>0.6</v>
      </c>
      <c r="F165" s="590">
        <v>5</v>
      </c>
      <c r="G165" s="590">
        <v>3</v>
      </c>
      <c r="H165" s="582">
        <f t="shared" si="22"/>
        <v>0.6</v>
      </c>
      <c r="I165" s="583">
        <f t="shared" si="25"/>
        <v>20</v>
      </c>
      <c r="J165" s="558">
        <f t="shared" si="25"/>
        <v>12</v>
      </c>
      <c r="K165" s="555">
        <f t="shared" si="23"/>
        <v>0.6</v>
      </c>
    </row>
    <row r="166" spans="1:11" ht="25.5">
      <c r="A166" s="562" t="s">
        <v>2300</v>
      </c>
      <c r="B166" s="563" t="s">
        <v>2301</v>
      </c>
      <c r="C166" s="561">
        <v>2</v>
      </c>
      <c r="D166" s="590"/>
      <c r="E166" s="582">
        <f t="shared" si="21"/>
        <v>0</v>
      </c>
      <c r="F166" s="590">
        <v>1</v>
      </c>
      <c r="G166" s="590"/>
      <c r="H166" s="582">
        <f t="shared" si="22"/>
        <v>0</v>
      </c>
      <c r="I166" s="583">
        <f t="shared" ref="I166:J186" si="26">+C166+F166</f>
        <v>3</v>
      </c>
      <c r="J166" s="558">
        <f t="shared" si="26"/>
        <v>0</v>
      </c>
      <c r="K166" s="555">
        <f t="shared" si="23"/>
        <v>0</v>
      </c>
    </row>
    <row r="167" spans="1:11" ht="25.5">
      <c r="A167" s="562" t="s">
        <v>2302</v>
      </c>
      <c r="B167" s="563" t="s">
        <v>2303</v>
      </c>
      <c r="C167" s="561"/>
      <c r="D167" s="590"/>
      <c r="E167" s="582" t="e">
        <f t="shared" si="21"/>
        <v>#DIV/0!</v>
      </c>
      <c r="F167" s="590"/>
      <c r="G167" s="590"/>
      <c r="H167" s="582" t="e">
        <f t="shared" si="22"/>
        <v>#DIV/0!</v>
      </c>
      <c r="I167" s="583">
        <f t="shared" si="26"/>
        <v>0</v>
      </c>
      <c r="J167" s="558">
        <f t="shared" si="26"/>
        <v>0</v>
      </c>
      <c r="K167" s="555" t="e">
        <f t="shared" si="23"/>
        <v>#DIV/0!</v>
      </c>
    </row>
    <row r="168" spans="1:11" ht="38.25">
      <c r="A168" s="562" t="s">
        <v>2023</v>
      </c>
      <c r="B168" s="563" t="s">
        <v>2304</v>
      </c>
      <c r="C168" s="561">
        <v>85</v>
      </c>
      <c r="D168" s="590">
        <v>50</v>
      </c>
      <c r="E168" s="582">
        <f t="shared" si="21"/>
        <v>0.58823529411764708</v>
      </c>
      <c r="F168" s="590">
        <v>20</v>
      </c>
      <c r="G168" s="590">
        <v>13</v>
      </c>
      <c r="H168" s="582">
        <f t="shared" si="22"/>
        <v>0.65</v>
      </c>
      <c r="I168" s="583">
        <f t="shared" si="26"/>
        <v>105</v>
      </c>
      <c r="J168" s="558">
        <f t="shared" si="26"/>
        <v>63</v>
      </c>
      <c r="K168" s="555">
        <f t="shared" si="23"/>
        <v>0.6</v>
      </c>
    </row>
    <row r="169" spans="1:11" ht="25.5">
      <c r="A169" s="562" t="s">
        <v>2016</v>
      </c>
      <c r="B169" s="563" t="s">
        <v>2017</v>
      </c>
      <c r="C169" s="561">
        <v>1</v>
      </c>
      <c r="D169" s="590"/>
      <c r="E169" s="582">
        <f t="shared" si="21"/>
        <v>0</v>
      </c>
      <c r="F169" s="590">
        <v>5</v>
      </c>
      <c r="G169" s="590">
        <v>2</v>
      </c>
      <c r="H169" s="582">
        <f t="shared" si="22"/>
        <v>0.4</v>
      </c>
      <c r="I169" s="583">
        <f t="shared" si="26"/>
        <v>6</v>
      </c>
      <c r="J169" s="558">
        <f t="shared" si="26"/>
        <v>2</v>
      </c>
      <c r="K169" s="555">
        <f t="shared" si="23"/>
        <v>0.33333333333333331</v>
      </c>
    </row>
    <row r="170" spans="1:11" ht="25.5">
      <c r="A170" s="562" t="s">
        <v>2305</v>
      </c>
      <c r="B170" s="563" t="s">
        <v>2306</v>
      </c>
      <c r="C170" s="561">
        <v>5</v>
      </c>
      <c r="D170" s="590"/>
      <c r="E170" s="582">
        <f t="shared" si="21"/>
        <v>0</v>
      </c>
      <c r="F170" s="590">
        <v>10</v>
      </c>
      <c r="G170" s="590">
        <v>3</v>
      </c>
      <c r="H170" s="582">
        <f t="shared" si="22"/>
        <v>0.3</v>
      </c>
      <c r="I170" s="583">
        <f t="shared" si="26"/>
        <v>15</v>
      </c>
      <c r="J170" s="558">
        <f t="shared" si="26"/>
        <v>3</v>
      </c>
      <c r="K170" s="555">
        <f t="shared" si="23"/>
        <v>0.2</v>
      </c>
    </row>
    <row r="171" spans="1:11" ht="38.25">
      <c r="A171" s="562" t="s">
        <v>2307</v>
      </c>
      <c r="B171" s="563" t="s">
        <v>2308</v>
      </c>
      <c r="C171" s="561">
        <v>5</v>
      </c>
      <c r="D171" s="590">
        <v>2</v>
      </c>
      <c r="E171" s="582">
        <f t="shared" si="21"/>
        <v>0.4</v>
      </c>
      <c r="F171" s="590">
        <v>2</v>
      </c>
      <c r="G171" s="590">
        <v>3</v>
      </c>
      <c r="H171" s="582">
        <f t="shared" si="22"/>
        <v>1.5</v>
      </c>
      <c r="I171" s="583">
        <f t="shared" si="26"/>
        <v>7</v>
      </c>
      <c r="J171" s="558">
        <f t="shared" si="26"/>
        <v>5</v>
      </c>
      <c r="K171" s="555">
        <f t="shared" si="23"/>
        <v>0.7142857142857143</v>
      </c>
    </row>
    <row r="172" spans="1:11" ht="38.25">
      <c r="A172" s="562" t="s">
        <v>2309</v>
      </c>
      <c r="B172" s="563" t="s">
        <v>2310</v>
      </c>
      <c r="C172" s="561">
        <v>10</v>
      </c>
      <c r="D172" s="590">
        <v>6</v>
      </c>
      <c r="E172" s="582">
        <f t="shared" si="21"/>
        <v>0.6</v>
      </c>
      <c r="F172" s="590">
        <v>2</v>
      </c>
      <c r="G172" s="590">
        <v>2</v>
      </c>
      <c r="H172" s="582">
        <f t="shared" si="22"/>
        <v>1</v>
      </c>
      <c r="I172" s="583">
        <f t="shared" si="26"/>
        <v>12</v>
      </c>
      <c r="J172" s="558">
        <f t="shared" si="26"/>
        <v>8</v>
      </c>
      <c r="K172" s="555">
        <f t="shared" si="23"/>
        <v>0.66666666666666663</v>
      </c>
    </row>
    <row r="173" spans="1:11" ht="38.25">
      <c r="A173" s="562" t="s">
        <v>2311</v>
      </c>
      <c r="B173" s="563" t="s">
        <v>2312</v>
      </c>
      <c r="C173" s="561"/>
      <c r="D173" s="590">
        <v>2</v>
      </c>
      <c r="E173" s="582" t="e">
        <f t="shared" si="21"/>
        <v>#DIV/0!</v>
      </c>
      <c r="F173" s="590">
        <v>1</v>
      </c>
      <c r="G173" s="590">
        <v>2</v>
      </c>
      <c r="H173" s="582">
        <f t="shared" si="22"/>
        <v>2</v>
      </c>
      <c r="I173" s="583">
        <f t="shared" si="26"/>
        <v>1</v>
      </c>
      <c r="J173" s="558">
        <f t="shared" si="26"/>
        <v>4</v>
      </c>
      <c r="K173" s="555">
        <f t="shared" si="23"/>
        <v>4</v>
      </c>
    </row>
    <row r="174" spans="1:11" ht="38.25">
      <c r="A174" s="562" t="s">
        <v>2313</v>
      </c>
      <c r="B174" s="563" t="s">
        <v>2314</v>
      </c>
      <c r="C174" s="561"/>
      <c r="D174" s="590"/>
      <c r="E174" s="582" t="e">
        <f t="shared" si="21"/>
        <v>#DIV/0!</v>
      </c>
      <c r="F174" s="590"/>
      <c r="G174" s="590"/>
      <c r="H174" s="582" t="e">
        <f t="shared" si="22"/>
        <v>#DIV/0!</v>
      </c>
      <c r="I174" s="583">
        <f t="shared" si="26"/>
        <v>0</v>
      </c>
      <c r="J174" s="558">
        <f t="shared" si="26"/>
        <v>0</v>
      </c>
      <c r="K174" s="555" t="e">
        <f t="shared" si="23"/>
        <v>#DIV/0!</v>
      </c>
    </row>
    <row r="175" spans="1:11" ht="38.25">
      <c r="A175" s="562" t="s">
        <v>2002</v>
      </c>
      <c r="B175" s="563" t="s">
        <v>2315</v>
      </c>
      <c r="C175" s="561">
        <v>20</v>
      </c>
      <c r="D175" s="590">
        <v>21</v>
      </c>
      <c r="E175" s="582">
        <f t="shared" si="21"/>
        <v>1.05</v>
      </c>
      <c r="F175" s="590">
        <v>45</v>
      </c>
      <c r="G175" s="590">
        <v>34</v>
      </c>
      <c r="H175" s="582">
        <f t="shared" si="22"/>
        <v>0.75555555555555554</v>
      </c>
      <c r="I175" s="583">
        <f t="shared" si="26"/>
        <v>65</v>
      </c>
      <c r="J175" s="558">
        <f t="shared" si="26"/>
        <v>55</v>
      </c>
      <c r="K175" s="555">
        <f t="shared" si="23"/>
        <v>0.84615384615384615</v>
      </c>
    </row>
    <row r="176" spans="1:11" ht="38.25">
      <c r="A176" s="562" t="s">
        <v>2316</v>
      </c>
      <c r="B176" s="566" t="s">
        <v>2317</v>
      </c>
      <c r="C176" s="561"/>
      <c r="D176" s="590"/>
      <c r="E176" s="582" t="e">
        <f t="shared" si="21"/>
        <v>#DIV/0!</v>
      </c>
      <c r="F176" s="590">
        <v>1</v>
      </c>
      <c r="G176" s="590"/>
      <c r="H176" s="582">
        <f t="shared" si="22"/>
        <v>0</v>
      </c>
      <c r="I176" s="583">
        <f t="shared" si="26"/>
        <v>1</v>
      </c>
      <c r="J176" s="558">
        <f t="shared" si="26"/>
        <v>0</v>
      </c>
      <c r="K176" s="555">
        <f t="shared" si="23"/>
        <v>0</v>
      </c>
    </row>
    <row r="177" spans="1:11" ht="51">
      <c r="A177" s="562" t="s">
        <v>2318</v>
      </c>
      <c r="B177" s="563" t="s">
        <v>2319</v>
      </c>
      <c r="C177" s="561">
        <v>3</v>
      </c>
      <c r="D177" s="590">
        <v>4</v>
      </c>
      <c r="E177" s="582">
        <f t="shared" si="21"/>
        <v>1.3333333333333333</v>
      </c>
      <c r="F177" s="590">
        <v>3</v>
      </c>
      <c r="G177" s="590">
        <v>1</v>
      </c>
      <c r="H177" s="582">
        <f t="shared" si="22"/>
        <v>0.33333333333333331</v>
      </c>
      <c r="I177" s="583">
        <f t="shared" si="26"/>
        <v>6</v>
      </c>
      <c r="J177" s="558">
        <f t="shared" si="26"/>
        <v>5</v>
      </c>
      <c r="K177" s="555">
        <f t="shared" si="23"/>
        <v>0.83333333333333337</v>
      </c>
    </row>
    <row r="178" spans="1:11" ht="38.25">
      <c r="A178" s="602" t="s">
        <v>2320</v>
      </c>
      <c r="B178" s="603" t="s">
        <v>2321</v>
      </c>
      <c r="C178" s="561"/>
      <c r="D178" s="590"/>
      <c r="E178" s="582" t="e">
        <f t="shared" si="21"/>
        <v>#DIV/0!</v>
      </c>
      <c r="F178" s="590"/>
      <c r="G178" s="590"/>
      <c r="H178" s="582" t="e">
        <f t="shared" si="22"/>
        <v>#DIV/0!</v>
      </c>
      <c r="I178" s="583">
        <f t="shared" si="26"/>
        <v>0</v>
      </c>
      <c r="J178" s="558">
        <f t="shared" si="26"/>
        <v>0</v>
      </c>
      <c r="K178" s="555" t="e">
        <f t="shared" si="23"/>
        <v>#DIV/0!</v>
      </c>
    </row>
    <row r="179" spans="1:11">
      <c r="A179" s="602" t="s">
        <v>2322</v>
      </c>
      <c r="B179" s="604" t="s">
        <v>2171</v>
      </c>
      <c r="C179" s="561"/>
      <c r="D179" s="590"/>
      <c r="E179" s="582" t="e">
        <f t="shared" si="21"/>
        <v>#DIV/0!</v>
      </c>
      <c r="F179" s="590"/>
      <c r="G179" s="590"/>
      <c r="H179" s="582" t="e">
        <f t="shared" si="22"/>
        <v>#DIV/0!</v>
      </c>
      <c r="I179" s="583">
        <f t="shared" si="26"/>
        <v>0</v>
      </c>
      <c r="J179" s="558">
        <f t="shared" si="26"/>
        <v>0</v>
      </c>
      <c r="K179" s="555" t="e">
        <f t="shared" si="23"/>
        <v>#DIV/0!</v>
      </c>
    </row>
    <row r="180" spans="1:11" ht="38.25">
      <c r="A180" s="562" t="s">
        <v>2323</v>
      </c>
      <c r="B180" s="568" t="s">
        <v>2324</v>
      </c>
      <c r="C180" s="561"/>
      <c r="D180" s="590"/>
      <c r="E180" s="582" t="e">
        <f t="shared" si="21"/>
        <v>#DIV/0!</v>
      </c>
      <c r="F180" s="590"/>
      <c r="G180" s="590"/>
      <c r="H180" s="582" t="e">
        <f t="shared" si="22"/>
        <v>#DIV/0!</v>
      </c>
      <c r="I180" s="583">
        <f t="shared" si="26"/>
        <v>0</v>
      </c>
      <c r="J180" s="558">
        <f t="shared" si="26"/>
        <v>0</v>
      </c>
      <c r="K180" s="555" t="e">
        <f t="shared" si="23"/>
        <v>#DIV/0!</v>
      </c>
    </row>
    <row r="181" spans="1:11" ht="25.5">
      <c r="A181" s="602" t="s">
        <v>2325</v>
      </c>
      <c r="B181" s="604" t="s">
        <v>2326</v>
      </c>
      <c r="C181" s="561"/>
      <c r="D181" s="590"/>
      <c r="E181" s="582" t="e">
        <f t="shared" si="21"/>
        <v>#DIV/0!</v>
      </c>
      <c r="F181" s="590"/>
      <c r="G181" s="590">
        <v>1</v>
      </c>
      <c r="H181" s="582" t="e">
        <f t="shared" si="22"/>
        <v>#DIV/0!</v>
      </c>
      <c r="I181" s="583">
        <f t="shared" si="26"/>
        <v>0</v>
      </c>
      <c r="J181" s="558">
        <f t="shared" si="26"/>
        <v>1</v>
      </c>
      <c r="K181" s="555" t="e">
        <f t="shared" si="23"/>
        <v>#DIV/0!</v>
      </c>
    </row>
    <row r="182" spans="1:11" ht="25.5">
      <c r="A182" s="564" t="s">
        <v>2327</v>
      </c>
      <c r="B182" s="563" t="s">
        <v>2328</v>
      </c>
      <c r="C182" s="561"/>
      <c r="D182" s="590"/>
      <c r="E182" s="582" t="e">
        <f t="shared" si="21"/>
        <v>#DIV/0!</v>
      </c>
      <c r="F182" s="590"/>
      <c r="G182" s="590"/>
      <c r="H182" s="582" t="e">
        <f t="shared" si="22"/>
        <v>#DIV/0!</v>
      </c>
      <c r="I182" s="583">
        <f t="shared" si="26"/>
        <v>0</v>
      </c>
      <c r="J182" s="558">
        <f t="shared" si="26"/>
        <v>0</v>
      </c>
      <c r="K182" s="555" t="e">
        <f t="shared" si="23"/>
        <v>#DIV/0!</v>
      </c>
    </row>
    <row r="183" spans="1:11" ht="25.5">
      <c r="A183" s="562" t="s">
        <v>2176</v>
      </c>
      <c r="B183" s="563" t="s">
        <v>2177</v>
      </c>
      <c r="C183" s="561">
        <v>35</v>
      </c>
      <c r="D183" s="590"/>
      <c r="E183" s="582">
        <f t="shared" si="21"/>
        <v>0</v>
      </c>
      <c r="F183" s="590">
        <v>3</v>
      </c>
      <c r="G183" s="590"/>
      <c r="H183" s="582">
        <f t="shared" si="22"/>
        <v>0</v>
      </c>
      <c r="I183" s="583">
        <f t="shared" si="26"/>
        <v>38</v>
      </c>
      <c r="J183" s="558">
        <f t="shared" si="26"/>
        <v>0</v>
      </c>
      <c r="K183" s="555">
        <f t="shared" si="23"/>
        <v>0</v>
      </c>
    </row>
    <row r="184" spans="1:11" ht="25.5">
      <c r="A184" s="562" t="s">
        <v>2329</v>
      </c>
      <c r="B184" s="563" t="s">
        <v>2330</v>
      </c>
      <c r="C184" s="561"/>
      <c r="D184" s="590"/>
      <c r="E184" s="582" t="e">
        <f t="shared" ref="E184:E186" si="27">+D184/C184</f>
        <v>#DIV/0!</v>
      </c>
      <c r="F184" s="590"/>
      <c r="G184" s="590"/>
      <c r="H184" s="582" t="e">
        <f t="shared" ref="H184:H186" si="28">+G184/F184</f>
        <v>#DIV/0!</v>
      </c>
      <c r="I184" s="583">
        <f t="shared" si="26"/>
        <v>0</v>
      </c>
      <c r="J184" s="558">
        <f t="shared" si="26"/>
        <v>0</v>
      </c>
      <c r="K184" s="555" t="e">
        <f t="shared" si="23"/>
        <v>#DIV/0!</v>
      </c>
    </row>
    <row r="185" spans="1:11" ht="25.5">
      <c r="A185" s="562" t="s">
        <v>2331</v>
      </c>
      <c r="B185" s="563" t="s">
        <v>2332</v>
      </c>
      <c r="C185" s="561">
        <v>1</v>
      </c>
      <c r="D185" s="590"/>
      <c r="E185" s="582">
        <f t="shared" si="27"/>
        <v>0</v>
      </c>
      <c r="F185" s="590"/>
      <c r="G185" s="590">
        <v>1</v>
      </c>
      <c r="H185" s="582" t="e">
        <f t="shared" si="28"/>
        <v>#DIV/0!</v>
      </c>
      <c r="I185" s="583">
        <f t="shared" si="26"/>
        <v>1</v>
      </c>
      <c r="J185" s="558">
        <f t="shared" si="26"/>
        <v>1</v>
      </c>
      <c r="K185" s="555">
        <f t="shared" ref="K185:K186" si="29">+J185/I185</f>
        <v>1</v>
      </c>
    </row>
    <row r="186" spans="1:11" ht="38.25">
      <c r="A186" s="569" t="s">
        <v>2178</v>
      </c>
      <c r="B186" s="570" t="s">
        <v>2179</v>
      </c>
      <c r="C186" s="561">
        <v>265</v>
      </c>
      <c r="D186" s="590">
        <v>118</v>
      </c>
      <c r="E186" s="582">
        <f t="shared" si="27"/>
        <v>0.44528301886792454</v>
      </c>
      <c r="F186" s="590">
        <v>60</v>
      </c>
      <c r="G186" s="590">
        <v>23</v>
      </c>
      <c r="H186" s="582">
        <f t="shared" si="28"/>
        <v>0.38333333333333336</v>
      </c>
      <c r="I186" s="583">
        <f t="shared" si="26"/>
        <v>325</v>
      </c>
      <c r="J186" s="558">
        <f t="shared" si="26"/>
        <v>141</v>
      </c>
      <c r="K186" s="555">
        <f t="shared" si="29"/>
        <v>0.43384615384615383</v>
      </c>
    </row>
    <row r="187" spans="1:11" ht="25.5">
      <c r="A187" s="605"/>
      <c r="B187" s="576" t="s">
        <v>339</v>
      </c>
      <c r="C187" s="2239"/>
      <c r="D187" s="2240"/>
      <c r="E187" s="2240"/>
      <c r="F187" s="2240"/>
      <c r="G187" s="2240"/>
      <c r="H187" s="2240"/>
      <c r="I187" s="2240"/>
      <c r="J187" s="2240"/>
      <c r="K187" s="2240"/>
    </row>
    <row r="188" spans="1:11">
      <c r="A188" s="548"/>
      <c r="B188" s="599" t="s">
        <v>257</v>
      </c>
      <c r="C188" s="606"/>
      <c r="D188" s="1791"/>
      <c r="E188" s="607"/>
      <c r="F188" s="1791"/>
      <c r="G188" s="1791"/>
      <c r="H188" s="607"/>
      <c r="I188" s="608">
        <f t="shared" ref="I188:J194" si="30">+C188+F188</f>
        <v>0</v>
      </c>
      <c r="J188" s="609"/>
      <c r="K188" s="555"/>
    </row>
    <row r="189" spans="1:11">
      <c r="A189" s="556"/>
      <c r="B189" s="610" t="s">
        <v>258</v>
      </c>
      <c r="C189" s="606"/>
      <c r="D189" s="1791"/>
      <c r="E189" s="607"/>
      <c r="F189" s="1791"/>
      <c r="G189" s="1791"/>
      <c r="H189" s="607"/>
      <c r="I189" s="608">
        <f t="shared" si="30"/>
        <v>0</v>
      </c>
      <c r="J189" s="609"/>
      <c r="K189" s="555"/>
    </row>
    <row r="190" spans="1:11">
      <c r="A190" s="2241"/>
      <c r="B190" s="2242"/>
      <c r="C190" s="2242"/>
      <c r="D190" s="2242"/>
      <c r="E190" s="2242"/>
      <c r="F190" s="2242"/>
      <c r="G190" s="2242"/>
      <c r="H190" s="2242"/>
      <c r="I190" s="2242"/>
      <c r="J190" s="2242"/>
      <c r="K190" s="2243"/>
    </row>
    <row r="191" spans="1:11" ht="25.5">
      <c r="A191" s="571"/>
      <c r="B191" s="611" t="s">
        <v>2333</v>
      </c>
      <c r="C191" s="572">
        <f>SUM(C192:C194)</f>
        <v>13250</v>
      </c>
      <c r="D191" s="572">
        <f>SUM(D192:D194)</f>
        <v>558</v>
      </c>
      <c r="E191" s="612">
        <f>+D191/C191</f>
        <v>4.2113207547169809E-2</v>
      </c>
      <c r="F191" s="613">
        <f>SUM(F192:F194)</f>
        <v>0</v>
      </c>
      <c r="G191" s="613">
        <f>SUM(G192:G194)</f>
        <v>0</v>
      </c>
      <c r="H191" s="612" t="e">
        <f>+G191/F191</f>
        <v>#DIV/0!</v>
      </c>
      <c r="I191" s="608">
        <f t="shared" si="30"/>
        <v>13250</v>
      </c>
      <c r="J191" s="554">
        <f>+D191+G191</f>
        <v>558</v>
      </c>
      <c r="K191" s="555">
        <f>+J191/I191</f>
        <v>4.2113207547169809E-2</v>
      </c>
    </row>
    <row r="192" spans="1:11">
      <c r="A192" s="614" t="s">
        <v>176</v>
      </c>
      <c r="B192" s="615" t="s">
        <v>2334</v>
      </c>
      <c r="C192" s="572">
        <f>+C80</f>
        <v>13100</v>
      </c>
      <c r="D192" s="572">
        <f>+D80</f>
        <v>528</v>
      </c>
      <c r="E192" s="612">
        <f>+D192/C192</f>
        <v>4.0305343511450382E-2</v>
      </c>
      <c r="F192" s="613"/>
      <c r="G192" s="613"/>
      <c r="H192" s="612" t="e">
        <f t="shared" ref="H192:H194" si="31">+G192/F192</f>
        <v>#DIV/0!</v>
      </c>
      <c r="I192" s="608">
        <f t="shared" si="30"/>
        <v>13100</v>
      </c>
      <c r="J192" s="554">
        <f t="shared" si="30"/>
        <v>528</v>
      </c>
      <c r="K192" s="555">
        <f t="shared" ref="K192:K194" si="32">+J192/I192</f>
        <v>4.0305343511450382E-2</v>
      </c>
    </row>
    <row r="193" spans="1:11">
      <c r="A193" s="613" t="s">
        <v>2168</v>
      </c>
      <c r="B193" s="615" t="s">
        <v>2335</v>
      </c>
      <c r="C193" s="572">
        <f>+C81</f>
        <v>0</v>
      </c>
      <c r="D193" s="572">
        <f>+D81</f>
        <v>0</v>
      </c>
      <c r="E193" s="612" t="e">
        <f t="shared" ref="E193:E194" si="33">+D193/C193</f>
        <v>#DIV/0!</v>
      </c>
      <c r="F193" s="613"/>
      <c r="G193" s="613"/>
      <c r="H193" s="612" t="e">
        <f t="shared" si="31"/>
        <v>#DIV/0!</v>
      </c>
      <c r="I193" s="553">
        <f t="shared" si="30"/>
        <v>0</v>
      </c>
      <c r="J193" s="554">
        <f t="shared" si="30"/>
        <v>0</v>
      </c>
      <c r="K193" s="555" t="e">
        <f t="shared" si="32"/>
        <v>#DIV/0!</v>
      </c>
    </row>
    <row r="194" spans="1:11">
      <c r="A194" s="616" t="s">
        <v>2336</v>
      </c>
      <c r="B194" s="617" t="s">
        <v>2337</v>
      </c>
      <c r="C194" s="618">
        <f>+C104</f>
        <v>150</v>
      </c>
      <c r="D194" s="618">
        <f>+D104</f>
        <v>30</v>
      </c>
      <c r="E194" s="612">
        <f t="shared" si="33"/>
        <v>0.2</v>
      </c>
      <c r="F194" s="618">
        <f t="shared" ref="F194" si="34">+F104</f>
        <v>0</v>
      </c>
      <c r="G194" s="618"/>
      <c r="H194" s="612" t="e">
        <f t="shared" si="31"/>
        <v>#DIV/0!</v>
      </c>
      <c r="I194" s="619">
        <f t="shared" si="30"/>
        <v>150</v>
      </c>
      <c r="J194" s="554">
        <f t="shared" si="30"/>
        <v>30</v>
      </c>
      <c r="K194" s="555">
        <f t="shared" si="32"/>
        <v>0.2</v>
      </c>
    </row>
    <row r="195" spans="1:11">
      <c r="A195" s="620"/>
      <c r="B195" s="621" t="s">
        <v>265</v>
      </c>
      <c r="C195" s="2244"/>
      <c r="D195" s="2245"/>
      <c r="E195" s="2245"/>
      <c r="F195" s="2245"/>
      <c r="G195" s="2245"/>
      <c r="H195" s="2245"/>
      <c r="I195" s="2245"/>
      <c r="J195" s="2245"/>
      <c r="K195" s="2245"/>
    </row>
    <row r="196" spans="1:11" ht="25.5">
      <c r="A196" s="548"/>
      <c r="B196" s="622" t="s">
        <v>2338</v>
      </c>
      <c r="C196" s="613"/>
      <c r="D196" s="613"/>
      <c r="E196" s="612"/>
      <c r="F196" s="613"/>
      <c r="G196" s="613"/>
      <c r="H196" s="612"/>
      <c r="I196" s="613"/>
      <c r="J196" s="609"/>
      <c r="K196" s="555"/>
    </row>
    <row r="197" spans="1:11">
      <c r="A197" s="548"/>
      <c r="B197" s="622" t="s">
        <v>257</v>
      </c>
      <c r="C197" s="613"/>
      <c r="D197" s="613"/>
      <c r="E197" s="612"/>
      <c r="F197" s="613">
        <v>205</v>
      </c>
      <c r="G197" s="613">
        <v>205</v>
      </c>
      <c r="H197" s="612">
        <f>+G197/F197</f>
        <v>1</v>
      </c>
      <c r="I197" s="613">
        <f>+C197+F197</f>
        <v>205</v>
      </c>
      <c r="J197" s="609">
        <f>+G197</f>
        <v>205</v>
      </c>
      <c r="K197" s="555">
        <f>+J197/I197</f>
        <v>1</v>
      </c>
    </row>
    <row r="198" spans="1:11">
      <c r="A198" s="548"/>
      <c r="B198" s="623" t="s">
        <v>258</v>
      </c>
      <c r="C198" s="613"/>
      <c r="D198" s="613"/>
      <c r="E198" s="612"/>
      <c r="F198" s="613">
        <f t="shared" ref="F198:I198" si="35">SUM(F199:F215)</f>
        <v>205</v>
      </c>
      <c r="G198" s="613">
        <f t="shared" si="35"/>
        <v>270</v>
      </c>
      <c r="H198" s="612">
        <f t="shared" ref="H198:H218" si="36">+G198/F198</f>
        <v>1.3170731707317074</v>
      </c>
      <c r="I198" s="613">
        <f t="shared" si="35"/>
        <v>205</v>
      </c>
      <c r="J198" s="609">
        <f>+G198</f>
        <v>270</v>
      </c>
      <c r="K198" s="555">
        <f>+J198/I198</f>
        <v>1.3170731707317074</v>
      </c>
    </row>
    <row r="199" spans="1:11" ht="38.25">
      <c r="A199" s="593" t="s">
        <v>2339</v>
      </c>
      <c r="B199" s="624" t="s">
        <v>2340</v>
      </c>
      <c r="C199" s="613"/>
      <c r="D199" s="613"/>
      <c r="E199" s="612"/>
      <c r="F199" s="613">
        <v>10</v>
      </c>
      <c r="G199" s="613"/>
      <c r="H199" s="612">
        <f t="shared" si="36"/>
        <v>0</v>
      </c>
      <c r="I199" s="613">
        <v>10</v>
      </c>
      <c r="J199" s="609">
        <f t="shared" ref="J199:J216" si="37">+G199</f>
        <v>0</v>
      </c>
      <c r="K199" s="555">
        <f t="shared" ref="K199:K218" si="38">+J199/I199</f>
        <v>0</v>
      </c>
    </row>
    <row r="200" spans="1:11">
      <c r="A200" s="593" t="s">
        <v>2341</v>
      </c>
      <c r="B200" s="625" t="s">
        <v>2342</v>
      </c>
      <c r="C200" s="613"/>
      <c r="D200" s="613"/>
      <c r="E200" s="612"/>
      <c r="F200" s="613">
        <v>10</v>
      </c>
      <c r="G200" s="613"/>
      <c r="H200" s="612">
        <f t="shared" si="36"/>
        <v>0</v>
      </c>
      <c r="I200" s="613">
        <v>10</v>
      </c>
      <c r="J200" s="609">
        <f t="shared" si="37"/>
        <v>0</v>
      </c>
      <c r="K200" s="555">
        <f t="shared" si="38"/>
        <v>0</v>
      </c>
    </row>
    <row r="201" spans="1:11">
      <c r="A201" s="593" t="s">
        <v>2343</v>
      </c>
      <c r="B201" s="625" t="s">
        <v>2344</v>
      </c>
      <c r="C201" s="613"/>
      <c r="D201" s="613"/>
      <c r="E201" s="612"/>
      <c r="F201" s="613">
        <v>10</v>
      </c>
      <c r="G201" s="613"/>
      <c r="H201" s="612">
        <f t="shared" si="36"/>
        <v>0</v>
      </c>
      <c r="I201" s="613">
        <v>10</v>
      </c>
      <c r="J201" s="609">
        <f t="shared" si="37"/>
        <v>0</v>
      </c>
      <c r="K201" s="555">
        <f t="shared" si="38"/>
        <v>0</v>
      </c>
    </row>
    <row r="202" spans="1:11">
      <c r="A202" s="593" t="s">
        <v>2345</v>
      </c>
      <c r="B202" s="625" t="s">
        <v>2346</v>
      </c>
      <c r="C202" s="613"/>
      <c r="D202" s="613"/>
      <c r="E202" s="612"/>
      <c r="F202" s="613">
        <v>10</v>
      </c>
      <c r="G202" s="613"/>
      <c r="H202" s="612">
        <f t="shared" si="36"/>
        <v>0</v>
      </c>
      <c r="I202" s="613">
        <v>10</v>
      </c>
      <c r="J202" s="609">
        <f t="shared" si="37"/>
        <v>0</v>
      </c>
      <c r="K202" s="555">
        <f t="shared" si="38"/>
        <v>0</v>
      </c>
    </row>
    <row r="203" spans="1:11">
      <c r="A203" s="593" t="s">
        <v>1976</v>
      </c>
      <c r="B203" s="625" t="s">
        <v>2347</v>
      </c>
      <c r="C203" s="613"/>
      <c r="D203" s="613"/>
      <c r="E203" s="612"/>
      <c r="F203" s="613">
        <v>10</v>
      </c>
      <c r="G203" s="613">
        <v>185</v>
      </c>
      <c r="H203" s="612">
        <f t="shared" si="36"/>
        <v>18.5</v>
      </c>
      <c r="I203" s="613">
        <v>10</v>
      </c>
      <c r="J203" s="609">
        <f t="shared" si="37"/>
        <v>185</v>
      </c>
      <c r="K203" s="555">
        <f t="shared" si="38"/>
        <v>18.5</v>
      </c>
    </row>
    <row r="204" spans="1:11" ht="25.5">
      <c r="A204" s="593" t="s">
        <v>2348</v>
      </c>
      <c r="B204" s="624" t="s">
        <v>2349</v>
      </c>
      <c r="C204" s="613"/>
      <c r="D204" s="613"/>
      <c r="E204" s="612"/>
      <c r="F204" s="613">
        <v>10</v>
      </c>
      <c r="G204" s="613">
        <v>1</v>
      </c>
      <c r="H204" s="612">
        <f t="shared" si="36"/>
        <v>0.1</v>
      </c>
      <c r="I204" s="613">
        <v>10</v>
      </c>
      <c r="J204" s="609">
        <f t="shared" si="37"/>
        <v>1</v>
      </c>
      <c r="K204" s="555">
        <f t="shared" si="38"/>
        <v>0.1</v>
      </c>
    </row>
    <row r="205" spans="1:11" ht="25.5">
      <c r="A205" s="593" t="s">
        <v>2350</v>
      </c>
      <c r="B205" s="624" t="s">
        <v>2351</v>
      </c>
      <c r="C205" s="613"/>
      <c r="D205" s="613"/>
      <c r="E205" s="612"/>
      <c r="F205" s="613">
        <v>10</v>
      </c>
      <c r="G205" s="613"/>
      <c r="H205" s="612">
        <f t="shared" si="36"/>
        <v>0</v>
      </c>
      <c r="I205" s="613">
        <v>10</v>
      </c>
      <c r="J205" s="609">
        <f t="shared" si="37"/>
        <v>0</v>
      </c>
      <c r="K205" s="555">
        <f t="shared" si="38"/>
        <v>0</v>
      </c>
    </row>
    <row r="206" spans="1:11" ht="25.5">
      <c r="A206" s="593" t="s">
        <v>2352</v>
      </c>
      <c r="B206" s="624" t="s">
        <v>2353</v>
      </c>
      <c r="C206" s="613"/>
      <c r="D206" s="613"/>
      <c r="E206" s="612"/>
      <c r="F206" s="613">
        <v>10</v>
      </c>
      <c r="G206" s="613"/>
      <c r="H206" s="612">
        <f t="shared" si="36"/>
        <v>0</v>
      </c>
      <c r="I206" s="613">
        <v>10</v>
      </c>
      <c r="J206" s="609">
        <f t="shared" si="37"/>
        <v>0</v>
      </c>
      <c r="K206" s="555">
        <f t="shared" si="38"/>
        <v>0</v>
      </c>
    </row>
    <row r="207" spans="1:11">
      <c r="A207" s="593" t="s">
        <v>2354</v>
      </c>
      <c r="B207" s="625" t="s">
        <v>2355</v>
      </c>
      <c r="C207" s="613"/>
      <c r="D207" s="613"/>
      <c r="E207" s="612"/>
      <c r="F207" s="613">
        <v>10</v>
      </c>
      <c r="G207" s="613"/>
      <c r="H207" s="612">
        <f t="shared" si="36"/>
        <v>0</v>
      </c>
      <c r="I207" s="613">
        <v>10</v>
      </c>
      <c r="J207" s="609">
        <f t="shared" si="37"/>
        <v>0</v>
      </c>
      <c r="K207" s="555">
        <f t="shared" si="38"/>
        <v>0</v>
      </c>
    </row>
    <row r="208" spans="1:11" ht="25.5">
      <c r="A208" s="593" t="s">
        <v>1981</v>
      </c>
      <c r="B208" s="626" t="s">
        <v>2356</v>
      </c>
      <c r="C208" s="613"/>
      <c r="D208" s="613"/>
      <c r="E208" s="612"/>
      <c r="F208" s="613">
        <v>10</v>
      </c>
      <c r="G208" s="613">
        <v>30</v>
      </c>
      <c r="H208" s="612">
        <f t="shared" si="36"/>
        <v>3</v>
      </c>
      <c r="I208" s="613">
        <v>10</v>
      </c>
      <c r="J208" s="609">
        <f t="shared" si="37"/>
        <v>30</v>
      </c>
      <c r="K208" s="555">
        <f t="shared" si="38"/>
        <v>3</v>
      </c>
    </row>
    <row r="209" spans="1:11" ht="25.5">
      <c r="A209" s="593" t="s">
        <v>2357</v>
      </c>
      <c r="B209" s="626" t="s">
        <v>2358</v>
      </c>
      <c r="C209" s="613"/>
      <c r="D209" s="613"/>
      <c r="E209" s="612"/>
      <c r="F209" s="613">
        <v>10</v>
      </c>
      <c r="G209" s="613">
        <v>2</v>
      </c>
      <c r="H209" s="612">
        <f t="shared" si="36"/>
        <v>0.2</v>
      </c>
      <c r="I209" s="613">
        <v>10</v>
      </c>
      <c r="J209" s="609">
        <f t="shared" si="37"/>
        <v>2</v>
      </c>
      <c r="K209" s="555">
        <f t="shared" si="38"/>
        <v>0.2</v>
      </c>
    </row>
    <row r="210" spans="1:11" ht="25.5">
      <c r="A210" s="548" t="s">
        <v>1980</v>
      </c>
      <c r="B210" s="626" t="s">
        <v>2359</v>
      </c>
      <c r="C210" s="613"/>
      <c r="D210" s="613"/>
      <c r="E210" s="612"/>
      <c r="F210" s="613">
        <v>10</v>
      </c>
      <c r="G210" s="613">
        <v>42</v>
      </c>
      <c r="H210" s="612">
        <f t="shared" si="36"/>
        <v>4.2</v>
      </c>
      <c r="I210" s="613">
        <v>10</v>
      </c>
      <c r="J210" s="609">
        <f t="shared" si="37"/>
        <v>42</v>
      </c>
      <c r="K210" s="555">
        <f t="shared" si="38"/>
        <v>4.2</v>
      </c>
    </row>
    <row r="211" spans="1:11" ht="38.25">
      <c r="A211" s="548" t="s">
        <v>1978</v>
      </c>
      <c r="B211" s="626" t="s">
        <v>2360</v>
      </c>
      <c r="C211" s="627"/>
      <c r="D211" s="627"/>
      <c r="E211" s="628"/>
      <c r="F211" s="613">
        <v>25</v>
      </c>
      <c r="G211" s="613">
        <v>6</v>
      </c>
      <c r="H211" s="612">
        <f t="shared" si="36"/>
        <v>0.24</v>
      </c>
      <c r="I211" s="613">
        <v>25</v>
      </c>
      <c r="J211" s="609">
        <f t="shared" si="37"/>
        <v>6</v>
      </c>
      <c r="K211" s="555">
        <f t="shared" si="38"/>
        <v>0.24</v>
      </c>
    </row>
    <row r="212" spans="1:11" ht="38.25">
      <c r="A212" s="593" t="s">
        <v>1979</v>
      </c>
      <c r="B212" s="626" t="s">
        <v>2361</v>
      </c>
      <c r="C212" s="627"/>
      <c r="D212" s="627"/>
      <c r="E212" s="628"/>
      <c r="F212" s="613">
        <v>15</v>
      </c>
      <c r="G212" s="613">
        <v>4</v>
      </c>
      <c r="H212" s="612">
        <f t="shared" si="36"/>
        <v>0.26666666666666666</v>
      </c>
      <c r="I212" s="613">
        <v>15</v>
      </c>
      <c r="J212" s="609">
        <f t="shared" si="37"/>
        <v>4</v>
      </c>
      <c r="K212" s="555">
        <f t="shared" si="38"/>
        <v>0.26666666666666666</v>
      </c>
    </row>
    <row r="213" spans="1:11" ht="25.5">
      <c r="A213" s="593" t="s">
        <v>2362</v>
      </c>
      <c r="B213" s="629" t="s">
        <v>2363</v>
      </c>
      <c r="C213" s="630"/>
      <c r="D213" s="630"/>
      <c r="E213" s="631"/>
      <c r="F213" s="613">
        <v>15</v>
      </c>
      <c r="G213" s="613"/>
      <c r="H213" s="612">
        <f t="shared" si="36"/>
        <v>0</v>
      </c>
      <c r="I213" s="613">
        <v>15</v>
      </c>
      <c r="J213" s="609">
        <f t="shared" si="37"/>
        <v>0</v>
      </c>
      <c r="K213" s="555">
        <f t="shared" si="38"/>
        <v>0</v>
      </c>
    </row>
    <row r="214" spans="1:11">
      <c r="A214" s="593" t="s">
        <v>2364</v>
      </c>
      <c r="B214" s="629" t="s">
        <v>2365</v>
      </c>
      <c r="C214" s="630"/>
      <c r="D214" s="630"/>
      <c r="E214" s="631"/>
      <c r="F214" s="630">
        <v>20</v>
      </c>
      <c r="G214" s="630"/>
      <c r="H214" s="612">
        <f t="shared" si="36"/>
        <v>0</v>
      </c>
      <c r="I214" s="613">
        <v>20</v>
      </c>
      <c r="J214" s="609">
        <f t="shared" si="37"/>
        <v>0</v>
      </c>
      <c r="K214" s="555">
        <f t="shared" si="38"/>
        <v>0</v>
      </c>
    </row>
    <row r="215" spans="1:11" ht="25.5">
      <c r="A215" s="593" t="s">
        <v>2366</v>
      </c>
      <c r="B215" s="629" t="s">
        <v>2367</v>
      </c>
      <c r="C215" s="630"/>
      <c r="D215" s="630"/>
      <c r="E215" s="631"/>
      <c r="F215" s="630">
        <v>10</v>
      </c>
      <c r="G215" s="630"/>
      <c r="H215" s="612">
        <f t="shared" si="36"/>
        <v>0</v>
      </c>
      <c r="I215" s="613">
        <v>10</v>
      </c>
      <c r="J215" s="609">
        <f t="shared" si="37"/>
        <v>0</v>
      </c>
      <c r="K215" s="555">
        <f t="shared" si="38"/>
        <v>0</v>
      </c>
    </row>
    <row r="216" spans="1:11" ht="13.5" thickBot="1">
      <c r="A216" s="609"/>
      <c r="B216" s="632" t="s">
        <v>2368</v>
      </c>
      <c r="C216" s="630"/>
      <c r="D216" s="630"/>
      <c r="E216" s="631"/>
      <c r="F216" s="630">
        <v>205</v>
      </c>
      <c r="G216" s="630">
        <f>SUM(G199:G215)</f>
        <v>270</v>
      </c>
      <c r="H216" s="612">
        <f t="shared" si="36"/>
        <v>1.3170731707317074</v>
      </c>
      <c r="I216" s="630">
        <v>205</v>
      </c>
      <c r="J216" s="609">
        <f t="shared" si="37"/>
        <v>270</v>
      </c>
      <c r="K216" s="555">
        <f t="shared" si="38"/>
        <v>1.3170731707317074</v>
      </c>
    </row>
    <row r="217" spans="1:11" ht="13.5" thickBot="1">
      <c r="A217" s="548"/>
      <c r="B217" s="576" t="s">
        <v>260</v>
      </c>
      <c r="C217" s="633">
        <f t="shared" ref="C217:J217" si="39">+C8+C82+C107+C119+C197</f>
        <v>39565</v>
      </c>
      <c r="D217" s="633">
        <f t="shared" si="39"/>
        <v>23084</v>
      </c>
      <c r="E217" s="634">
        <f>+D217/C217</f>
        <v>0.58344496398331858</v>
      </c>
      <c r="F217" s="633">
        <f t="shared" si="39"/>
        <v>11243</v>
      </c>
      <c r="G217" s="633">
        <f t="shared" si="39"/>
        <v>5098</v>
      </c>
      <c r="H217" s="612">
        <f t="shared" si="36"/>
        <v>0.45343769456550742</v>
      </c>
      <c r="I217" s="633">
        <f t="shared" si="39"/>
        <v>50808</v>
      </c>
      <c r="J217" s="633">
        <f t="shared" si="39"/>
        <v>28182</v>
      </c>
      <c r="K217" s="555">
        <f t="shared" si="38"/>
        <v>0.55467642890883329</v>
      </c>
    </row>
    <row r="218" spans="1:11" ht="13.5" thickBot="1">
      <c r="A218" s="548"/>
      <c r="B218" s="576" t="s">
        <v>261</v>
      </c>
      <c r="C218" s="633">
        <f t="shared" ref="C218:J218" si="40">+C9+C83+C108+C120+C189+C198</f>
        <v>54607</v>
      </c>
      <c r="D218" s="633">
        <f t="shared" si="40"/>
        <v>27453</v>
      </c>
      <c r="E218" s="634">
        <f>+D218/C218</f>
        <v>0.50273774424524331</v>
      </c>
      <c r="F218" s="633">
        <f>+F9+F83+F108+F120+F189+F198</f>
        <v>12724</v>
      </c>
      <c r="G218" s="633">
        <f t="shared" ref="G218" si="41">+G9+G83+G108+G120+G189+G198</f>
        <v>5973</v>
      </c>
      <c r="H218" s="612">
        <f t="shared" si="36"/>
        <v>0.46942785287645394</v>
      </c>
      <c r="I218" s="633">
        <f t="shared" si="40"/>
        <v>67330</v>
      </c>
      <c r="J218" s="633">
        <f t="shared" si="40"/>
        <v>33426</v>
      </c>
      <c r="K218" s="555">
        <f t="shared" si="38"/>
        <v>0.49645031932273875</v>
      </c>
    </row>
    <row r="219" spans="1:11">
      <c r="A219" s="635" t="s">
        <v>194</v>
      </c>
      <c r="B219" s="636"/>
      <c r="C219" s="637"/>
      <c r="D219" s="637"/>
      <c r="E219" s="638"/>
      <c r="F219" s="637"/>
      <c r="G219" s="637"/>
      <c r="H219" s="638"/>
      <c r="I219" s="639"/>
      <c r="J219" s="577"/>
      <c r="K219" s="578"/>
    </row>
    <row r="220" spans="1:11">
      <c r="A220" s="2246" t="s">
        <v>196</v>
      </c>
      <c r="B220" s="2246"/>
      <c r="C220" s="2246"/>
      <c r="D220" s="2246"/>
      <c r="E220" s="2246"/>
      <c r="F220" s="2246"/>
      <c r="G220" s="1790"/>
      <c r="H220" s="640"/>
      <c r="I220" s="637"/>
      <c r="J220" s="577"/>
      <c r="K220" s="578"/>
    </row>
  </sheetData>
  <mergeCells count="23">
    <mergeCell ref="A1:B1"/>
    <mergeCell ref="C1:K1"/>
    <mergeCell ref="A2:B2"/>
    <mergeCell ref="C2:K2"/>
    <mergeCell ref="A3:B3"/>
    <mergeCell ref="C3:K3"/>
    <mergeCell ref="A4:B4"/>
    <mergeCell ref="C4:K4"/>
    <mergeCell ref="A5:A6"/>
    <mergeCell ref="B5:B6"/>
    <mergeCell ref="C5:E5"/>
    <mergeCell ref="F5:H5"/>
    <mergeCell ref="I5:K5"/>
    <mergeCell ref="C187:K187"/>
    <mergeCell ref="A190:K190"/>
    <mergeCell ref="C195:K195"/>
    <mergeCell ref="A220:F220"/>
    <mergeCell ref="C7:K7"/>
    <mergeCell ref="C81:I81"/>
    <mergeCell ref="A105:K105"/>
    <mergeCell ref="C106:I106"/>
    <mergeCell ref="A117:K117"/>
    <mergeCell ref="C118:K118"/>
  </mergeCells>
  <pageMargins left="0.7" right="0.7" top="0.75" bottom="0.75" header="0.3" footer="0.3"/>
  <pageSetup paperSize="9" scale="66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85"/>
  <sheetViews>
    <sheetView view="pageBreakPreview" topLeftCell="B1" zoomScaleSheetLayoutView="100" workbookViewId="0">
      <selection activeCell="C5" sqref="C5:C6"/>
    </sheetView>
  </sheetViews>
  <sheetFormatPr defaultRowHeight="12.75"/>
  <cols>
    <col min="1" max="1" width="8.7109375" style="93" hidden="1" customWidth="1"/>
    <col min="2" max="2" width="12.28515625" style="711" customWidth="1"/>
    <col min="3" max="3" width="54.28515625" style="711" customWidth="1"/>
    <col min="4" max="5" width="9.140625" style="711"/>
    <col min="6" max="6" width="9.140625" style="884"/>
    <col min="7" max="7" width="9.5703125" style="711" bestFit="1" customWidth="1"/>
    <col min="8" max="8" width="9.5703125" style="711" customWidth="1"/>
    <col min="9" max="9" width="9.5703125" style="884" customWidth="1"/>
    <col min="10" max="11" width="9.140625" style="711"/>
    <col min="12" max="12" width="11" style="884" customWidth="1"/>
    <col min="13" max="16384" width="9.140625" style="93"/>
  </cols>
  <sheetData>
    <row r="1" spans="1:22" ht="19.5">
      <c r="B1" s="2285" t="s">
        <v>208</v>
      </c>
      <c r="C1" s="2286"/>
      <c r="D1" s="2287" t="s">
        <v>1847</v>
      </c>
      <c r="E1" s="2288"/>
      <c r="F1" s="2288"/>
      <c r="G1" s="2288"/>
      <c r="H1" s="2288"/>
      <c r="I1" s="2288"/>
      <c r="J1" s="2288"/>
      <c r="K1" s="2288"/>
      <c r="L1" s="2288"/>
    </row>
    <row r="2" spans="1:22" ht="19.5">
      <c r="B2" s="2285" t="s">
        <v>209</v>
      </c>
      <c r="C2" s="2286"/>
      <c r="D2" s="2289" t="s">
        <v>2370</v>
      </c>
      <c r="E2" s="2290"/>
      <c r="F2" s="2290"/>
      <c r="G2" s="2290"/>
      <c r="H2" s="2290"/>
      <c r="I2" s="2290"/>
      <c r="J2" s="2290"/>
      <c r="K2" s="2290"/>
      <c r="L2" s="2290"/>
    </row>
    <row r="3" spans="1:22" ht="19.5">
      <c r="B3" s="2285" t="s">
        <v>211</v>
      </c>
      <c r="C3" s="2286"/>
      <c r="D3" s="2287" t="s">
        <v>6535</v>
      </c>
      <c r="E3" s="2288"/>
      <c r="F3" s="2288"/>
      <c r="G3" s="2288"/>
      <c r="H3" s="2288"/>
      <c r="I3" s="2288"/>
      <c r="J3" s="2288"/>
      <c r="K3" s="2288"/>
      <c r="L3" s="2288"/>
    </row>
    <row r="4" spans="1:22" s="5" customFormat="1" ht="15" customHeight="1">
      <c r="A4" s="13"/>
      <c r="B4" s="2281" t="s">
        <v>210</v>
      </c>
      <c r="C4" s="2282"/>
      <c r="D4" s="2283" t="s">
        <v>332</v>
      </c>
      <c r="E4" s="2284"/>
      <c r="F4" s="2284"/>
      <c r="G4" s="2284"/>
      <c r="H4" s="2284"/>
      <c r="I4" s="2284"/>
      <c r="J4" s="2284"/>
      <c r="K4" s="2284"/>
      <c r="L4" s="2284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5" customFormat="1" ht="24.75" customHeight="1">
      <c r="A5" s="13"/>
      <c r="B5" s="2226" t="s">
        <v>55</v>
      </c>
      <c r="C5" s="2226" t="s">
        <v>256</v>
      </c>
      <c r="D5" s="1935" t="s">
        <v>2038</v>
      </c>
      <c r="E5" s="1935"/>
      <c r="F5" s="1935"/>
      <c r="G5" s="1935" t="s">
        <v>2039</v>
      </c>
      <c r="H5" s="1935"/>
      <c r="I5" s="1935"/>
      <c r="J5" s="1935" t="s">
        <v>90</v>
      </c>
      <c r="K5" s="1935"/>
      <c r="L5" s="1935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809" customFormat="1" ht="63" customHeight="1">
      <c r="A6" s="675"/>
      <c r="B6" s="2226"/>
      <c r="C6" s="2226"/>
      <c r="D6" s="545" t="s">
        <v>368</v>
      </c>
      <c r="E6" s="1788" t="s">
        <v>2040</v>
      </c>
      <c r="F6" s="546" t="s">
        <v>2041</v>
      </c>
      <c r="G6" s="545" t="s">
        <v>368</v>
      </c>
      <c r="H6" s="1788" t="s">
        <v>2040</v>
      </c>
      <c r="I6" s="546" t="s">
        <v>2041</v>
      </c>
      <c r="J6" s="545" t="s">
        <v>368</v>
      </c>
      <c r="K6" s="1788" t="s">
        <v>2040</v>
      </c>
      <c r="L6" s="546" t="s">
        <v>2041</v>
      </c>
    </row>
    <row r="7" spans="1:22" s="8" customFormat="1" ht="26.25" customHeight="1" thickBot="1">
      <c r="A7" s="82" t="s">
        <v>368</v>
      </c>
      <c r="B7" s="1487"/>
      <c r="C7" s="1488" t="s">
        <v>266</v>
      </c>
      <c r="D7" s="1489">
        <v>48500</v>
      </c>
      <c r="E7" s="1489">
        <v>23908</v>
      </c>
      <c r="F7" s="1490">
        <f>+E7/D7</f>
        <v>0.49294845360824741</v>
      </c>
      <c r="G7" s="1489">
        <v>80500</v>
      </c>
      <c r="H7" s="1489">
        <v>40372</v>
      </c>
      <c r="I7" s="1490">
        <f>+H7/G7</f>
        <v>0.50151552795031051</v>
      </c>
      <c r="J7" s="1491">
        <f>+D7+G7</f>
        <v>129000</v>
      </c>
      <c r="K7" s="1515">
        <f>+E7+H7</f>
        <v>64280</v>
      </c>
      <c r="L7" s="1546">
        <f>+K7/J7</f>
        <v>0.49829457364341084</v>
      </c>
    </row>
    <row r="8" spans="1:22" s="8" customFormat="1" ht="13.5" thickTop="1">
      <c r="A8" s="98"/>
      <c r="B8" s="1492"/>
      <c r="C8" s="1488" t="s">
        <v>6536</v>
      </c>
      <c r="D8" s="1489">
        <v>57750</v>
      </c>
      <c r="E8" s="1489">
        <v>27796</v>
      </c>
      <c r="F8" s="1490">
        <f t="shared" ref="F8:F71" si="0">+E8/D8</f>
        <v>0.48131601731601731</v>
      </c>
      <c r="G8" s="1489">
        <v>82250</v>
      </c>
      <c r="H8" s="1493">
        <v>41381</v>
      </c>
      <c r="I8" s="1490">
        <f t="shared" ref="I8:I71" si="1">+H8/G8</f>
        <v>0.50311246200607906</v>
      </c>
      <c r="J8" s="1493">
        <f>+D8+G8</f>
        <v>140000</v>
      </c>
      <c r="K8" s="1515">
        <f t="shared" ref="K8:K71" si="2">+E8+H8</f>
        <v>69177</v>
      </c>
      <c r="L8" s="1546">
        <f t="shared" ref="L8:L71" si="3">+K8/J8</f>
        <v>0.49412142857142854</v>
      </c>
    </row>
    <row r="9" spans="1:22" s="8" customFormat="1">
      <c r="A9" s="90"/>
      <c r="B9" s="1487" t="s">
        <v>6537</v>
      </c>
      <c r="C9" s="1488" t="s">
        <v>6538</v>
      </c>
      <c r="D9" s="1494">
        <f t="shared" ref="D9:H9" si="4">SUM(D10:D121)</f>
        <v>393685</v>
      </c>
      <c r="E9" s="1494">
        <f t="shared" si="4"/>
        <v>221298</v>
      </c>
      <c r="F9" s="1490">
        <f t="shared" si="0"/>
        <v>0.56211946099038568</v>
      </c>
      <c r="G9" s="1494">
        <f t="shared" si="4"/>
        <v>392056</v>
      </c>
      <c r="H9" s="1494">
        <f t="shared" si="4"/>
        <v>183082</v>
      </c>
      <c r="I9" s="1490">
        <f t="shared" si="1"/>
        <v>0.46697920705205381</v>
      </c>
      <c r="J9" s="1495">
        <f t="shared" ref="J9" si="5">SUM(J10:J121)</f>
        <v>785641</v>
      </c>
      <c r="K9" s="1515">
        <f t="shared" si="2"/>
        <v>404380</v>
      </c>
      <c r="L9" s="1546">
        <f t="shared" si="3"/>
        <v>0.51471346327393808</v>
      </c>
    </row>
    <row r="10" spans="1:22" s="8" customFormat="1">
      <c r="A10" s="90"/>
      <c r="B10" s="1487" t="s">
        <v>2403</v>
      </c>
      <c r="C10" s="1488" t="s">
        <v>2404</v>
      </c>
      <c r="D10" s="1494"/>
      <c r="E10" s="1494"/>
      <c r="F10" s="1490" t="e">
        <f t="shared" si="0"/>
        <v>#DIV/0!</v>
      </c>
      <c r="G10" s="1494"/>
      <c r="H10" s="1494"/>
      <c r="I10" s="1490" t="e">
        <f t="shared" si="1"/>
        <v>#DIV/0!</v>
      </c>
      <c r="J10" s="1491">
        <v>0</v>
      </c>
      <c r="K10" s="1515">
        <f t="shared" si="2"/>
        <v>0</v>
      </c>
      <c r="L10" s="1546" t="e">
        <f t="shared" si="3"/>
        <v>#DIV/0!</v>
      </c>
    </row>
    <row r="11" spans="1:22" s="8" customFormat="1">
      <c r="A11" s="90"/>
      <c r="B11" s="569" t="s">
        <v>3864</v>
      </c>
      <c r="C11" s="1496" t="s">
        <v>6539</v>
      </c>
      <c r="D11" s="1497">
        <v>800</v>
      </c>
      <c r="E11" s="1497">
        <v>420</v>
      </c>
      <c r="F11" s="1490">
        <f t="shared" si="0"/>
        <v>0.52500000000000002</v>
      </c>
      <c r="G11" s="1497">
        <v>1315</v>
      </c>
      <c r="H11" s="1497">
        <v>1817</v>
      </c>
      <c r="I11" s="1490">
        <f t="shared" si="1"/>
        <v>1.3817490494296578</v>
      </c>
      <c r="J11" s="1491">
        <f t="shared" ref="J11:J57" si="6">+D11+G11</f>
        <v>2115</v>
      </c>
      <c r="K11" s="1515">
        <f t="shared" si="2"/>
        <v>2237</v>
      </c>
      <c r="L11" s="1546">
        <f t="shared" si="3"/>
        <v>1.0576832151300237</v>
      </c>
    </row>
    <row r="12" spans="1:22" s="8" customFormat="1" ht="25.5">
      <c r="A12" s="90"/>
      <c r="B12" s="569" t="s">
        <v>6540</v>
      </c>
      <c r="C12" s="1496" t="s">
        <v>6541</v>
      </c>
      <c r="D12" s="1497"/>
      <c r="E12" s="1497"/>
      <c r="F12" s="1490" t="e">
        <f t="shared" si="0"/>
        <v>#DIV/0!</v>
      </c>
      <c r="G12" s="1497"/>
      <c r="H12" s="1497"/>
      <c r="I12" s="1490" t="e">
        <f t="shared" si="1"/>
        <v>#DIV/0!</v>
      </c>
      <c r="J12" s="1491">
        <f t="shared" si="6"/>
        <v>0</v>
      </c>
      <c r="K12" s="1515">
        <f t="shared" si="2"/>
        <v>0</v>
      </c>
      <c r="L12" s="1546" t="e">
        <f t="shared" si="3"/>
        <v>#DIV/0!</v>
      </c>
    </row>
    <row r="13" spans="1:22" s="8" customFormat="1">
      <c r="A13" s="90"/>
      <c r="B13" s="569" t="s">
        <v>6542</v>
      </c>
      <c r="C13" s="1496" t="s">
        <v>6543</v>
      </c>
      <c r="D13" s="1497">
        <v>2261</v>
      </c>
      <c r="E13" s="1497">
        <v>1189</v>
      </c>
      <c r="F13" s="1490">
        <f t="shared" si="0"/>
        <v>0.52587350729765592</v>
      </c>
      <c r="G13" s="1497">
        <v>640</v>
      </c>
      <c r="H13" s="1497">
        <v>348</v>
      </c>
      <c r="I13" s="1490">
        <f t="shared" si="1"/>
        <v>0.54374999999999996</v>
      </c>
      <c r="J13" s="1491">
        <f t="shared" si="6"/>
        <v>2901</v>
      </c>
      <c r="K13" s="1515">
        <f t="shared" si="2"/>
        <v>1537</v>
      </c>
      <c r="L13" s="1546">
        <f t="shared" si="3"/>
        <v>0.52981730437780072</v>
      </c>
    </row>
    <row r="14" spans="1:22" s="8" customFormat="1">
      <c r="A14" s="90"/>
      <c r="B14" s="569" t="s">
        <v>6544</v>
      </c>
      <c r="C14" s="1496" t="s">
        <v>6545</v>
      </c>
      <c r="D14" s="1497">
        <v>15</v>
      </c>
      <c r="E14" s="1497">
        <v>7</v>
      </c>
      <c r="F14" s="1490">
        <f t="shared" si="0"/>
        <v>0.46666666666666667</v>
      </c>
      <c r="G14" s="1497">
        <v>30</v>
      </c>
      <c r="H14" s="1497">
        <v>14</v>
      </c>
      <c r="I14" s="1490">
        <f t="shared" si="1"/>
        <v>0.46666666666666667</v>
      </c>
      <c r="J14" s="1491">
        <f t="shared" si="6"/>
        <v>45</v>
      </c>
      <c r="K14" s="1515">
        <f t="shared" si="2"/>
        <v>21</v>
      </c>
      <c r="L14" s="1546">
        <f t="shared" si="3"/>
        <v>0.46666666666666667</v>
      </c>
    </row>
    <row r="15" spans="1:22" s="8" customFormat="1" ht="25.5">
      <c r="A15" s="90"/>
      <c r="B15" s="569" t="s">
        <v>6546</v>
      </c>
      <c r="C15" s="1496" t="s">
        <v>6547</v>
      </c>
      <c r="D15" s="1497">
        <v>12770</v>
      </c>
      <c r="E15" s="1497">
        <v>7367</v>
      </c>
      <c r="F15" s="1490">
        <f t="shared" si="0"/>
        <v>0.57689898198903677</v>
      </c>
      <c r="G15" s="1497">
        <v>10107</v>
      </c>
      <c r="H15" s="1497">
        <v>5058</v>
      </c>
      <c r="I15" s="1490">
        <f t="shared" si="1"/>
        <v>0.50044523597506674</v>
      </c>
      <c r="J15" s="1491">
        <f t="shared" si="6"/>
        <v>22877</v>
      </c>
      <c r="K15" s="1515">
        <f t="shared" si="2"/>
        <v>12425</v>
      </c>
      <c r="L15" s="1546">
        <f t="shared" si="3"/>
        <v>0.54312191283822175</v>
      </c>
    </row>
    <row r="16" spans="1:22" s="8" customFormat="1">
      <c r="A16" s="91"/>
      <c r="B16" s="569" t="s">
        <v>6548</v>
      </c>
      <c r="C16" s="1496" t="s">
        <v>6549</v>
      </c>
      <c r="D16" s="1497">
        <v>1305</v>
      </c>
      <c r="E16" s="1497">
        <v>954</v>
      </c>
      <c r="F16" s="1490">
        <f t="shared" si="0"/>
        <v>0.73103448275862071</v>
      </c>
      <c r="G16" s="1497">
        <v>2540</v>
      </c>
      <c r="H16" s="1497">
        <v>1540</v>
      </c>
      <c r="I16" s="1490">
        <f t="shared" si="1"/>
        <v>0.60629921259842523</v>
      </c>
      <c r="J16" s="1491">
        <f t="shared" si="6"/>
        <v>3845</v>
      </c>
      <c r="K16" s="1515">
        <f t="shared" si="2"/>
        <v>2494</v>
      </c>
      <c r="L16" s="1546">
        <f t="shared" si="3"/>
        <v>0.64863459037711313</v>
      </c>
    </row>
    <row r="17" spans="1:12" s="8" customFormat="1">
      <c r="A17" s="90"/>
      <c r="B17" s="569" t="s">
        <v>6550</v>
      </c>
      <c r="C17" s="1496" t="s">
        <v>6551</v>
      </c>
      <c r="D17" s="1497">
        <v>1780</v>
      </c>
      <c r="E17" s="1497">
        <v>1004</v>
      </c>
      <c r="F17" s="1490">
        <f t="shared" si="0"/>
        <v>0.56404494382022474</v>
      </c>
      <c r="G17" s="1497">
        <v>2432</v>
      </c>
      <c r="H17" s="1497">
        <v>1354</v>
      </c>
      <c r="I17" s="1490">
        <f t="shared" si="1"/>
        <v>0.55674342105263153</v>
      </c>
      <c r="J17" s="1491">
        <f t="shared" si="6"/>
        <v>4212</v>
      </c>
      <c r="K17" s="1515">
        <f t="shared" si="2"/>
        <v>2358</v>
      </c>
      <c r="L17" s="1546">
        <f t="shared" si="3"/>
        <v>0.55982905982905984</v>
      </c>
    </row>
    <row r="18" spans="1:12" s="8" customFormat="1">
      <c r="A18" s="90"/>
      <c r="B18" s="569" t="s">
        <v>6552</v>
      </c>
      <c r="C18" s="1496" t="s">
        <v>6553</v>
      </c>
      <c r="D18" s="1497">
        <v>565</v>
      </c>
      <c r="E18" s="1497">
        <v>176</v>
      </c>
      <c r="F18" s="1490">
        <f t="shared" si="0"/>
        <v>0.31150442477876106</v>
      </c>
      <c r="G18" s="1497">
        <v>190</v>
      </c>
      <c r="H18" s="1497">
        <v>92</v>
      </c>
      <c r="I18" s="1490">
        <f t="shared" si="1"/>
        <v>0.48421052631578948</v>
      </c>
      <c r="J18" s="1491">
        <f t="shared" si="6"/>
        <v>755</v>
      </c>
      <c r="K18" s="1515">
        <f t="shared" si="2"/>
        <v>268</v>
      </c>
      <c r="L18" s="1546">
        <f t="shared" si="3"/>
        <v>0.35496688741721855</v>
      </c>
    </row>
    <row r="19" spans="1:12" s="8" customFormat="1">
      <c r="A19" s="90"/>
      <c r="B19" s="569" t="s">
        <v>6554</v>
      </c>
      <c r="C19" s="1496" t="s">
        <v>6555</v>
      </c>
      <c r="D19" s="1497">
        <v>7245</v>
      </c>
      <c r="E19" s="1497">
        <v>4012</v>
      </c>
      <c r="F19" s="1490">
        <f t="shared" si="0"/>
        <v>0.55376121463077987</v>
      </c>
      <c r="G19" s="1497">
        <v>5190</v>
      </c>
      <c r="H19" s="1497">
        <v>2754</v>
      </c>
      <c r="I19" s="1490">
        <f t="shared" si="1"/>
        <v>0.53063583815028903</v>
      </c>
      <c r="J19" s="1491">
        <f t="shared" si="6"/>
        <v>12435</v>
      </c>
      <c r="K19" s="1515">
        <f t="shared" si="2"/>
        <v>6766</v>
      </c>
      <c r="L19" s="1546">
        <f t="shared" si="3"/>
        <v>0.54410936871733007</v>
      </c>
    </row>
    <row r="20" spans="1:12" s="8" customFormat="1" ht="25.5">
      <c r="A20" s="90"/>
      <c r="B20" s="569" t="s">
        <v>6556</v>
      </c>
      <c r="C20" s="1496" t="s">
        <v>6557</v>
      </c>
      <c r="D20" s="1497">
        <v>12770</v>
      </c>
      <c r="E20" s="1497">
        <v>7369</v>
      </c>
      <c r="F20" s="1490">
        <f t="shared" si="0"/>
        <v>0.57705559906029757</v>
      </c>
      <c r="G20" s="1497">
        <v>10107</v>
      </c>
      <c r="H20" s="1497">
        <v>5056</v>
      </c>
      <c r="I20" s="1490">
        <f t="shared" si="1"/>
        <v>0.50024735331948156</v>
      </c>
      <c r="J20" s="1491">
        <f t="shared" si="6"/>
        <v>22877</v>
      </c>
      <c r="K20" s="1515">
        <f t="shared" si="2"/>
        <v>12425</v>
      </c>
      <c r="L20" s="1546">
        <f t="shared" si="3"/>
        <v>0.54312191283822175</v>
      </c>
    </row>
    <row r="21" spans="1:12" s="8" customFormat="1" ht="25.5">
      <c r="A21" s="90"/>
      <c r="B21" s="569" t="s">
        <v>6558</v>
      </c>
      <c r="C21" s="1496" t="s">
        <v>6559</v>
      </c>
      <c r="D21" s="1497">
        <v>296</v>
      </c>
      <c r="E21" s="1497">
        <v>196</v>
      </c>
      <c r="F21" s="1490">
        <f t="shared" si="0"/>
        <v>0.66216216216216217</v>
      </c>
      <c r="G21" s="1497">
        <v>204</v>
      </c>
      <c r="H21" s="1497">
        <v>47</v>
      </c>
      <c r="I21" s="1490">
        <f t="shared" si="1"/>
        <v>0.23039215686274508</v>
      </c>
      <c r="J21" s="1491">
        <f t="shared" si="6"/>
        <v>500</v>
      </c>
      <c r="K21" s="1515">
        <f t="shared" si="2"/>
        <v>243</v>
      </c>
      <c r="L21" s="1546">
        <f t="shared" si="3"/>
        <v>0.48599999999999999</v>
      </c>
    </row>
    <row r="22" spans="1:12" s="8" customFormat="1" ht="25.5">
      <c r="A22" s="90"/>
      <c r="B22" s="569" t="s">
        <v>6560</v>
      </c>
      <c r="C22" s="1496" t="s">
        <v>6561</v>
      </c>
      <c r="D22" s="1497">
        <v>3180</v>
      </c>
      <c r="E22" s="1497">
        <v>1475</v>
      </c>
      <c r="F22" s="1490">
        <f t="shared" si="0"/>
        <v>0.46383647798742139</v>
      </c>
      <c r="G22" s="1497">
        <v>8660</v>
      </c>
      <c r="H22" s="1497">
        <v>3505</v>
      </c>
      <c r="I22" s="1490">
        <f t="shared" si="1"/>
        <v>0.40473441108545033</v>
      </c>
      <c r="J22" s="1491">
        <f t="shared" si="6"/>
        <v>11840</v>
      </c>
      <c r="K22" s="1515">
        <f t="shared" si="2"/>
        <v>4980</v>
      </c>
      <c r="L22" s="1546">
        <f t="shared" si="3"/>
        <v>0.42060810810810811</v>
      </c>
    </row>
    <row r="23" spans="1:12" s="8" customFormat="1">
      <c r="A23" s="90"/>
      <c r="B23" s="569" t="s">
        <v>6562</v>
      </c>
      <c r="C23" s="1496" t="s">
        <v>6563</v>
      </c>
      <c r="D23" s="1497">
        <v>3005</v>
      </c>
      <c r="E23" s="1497">
        <v>1703</v>
      </c>
      <c r="F23" s="1490">
        <f t="shared" si="0"/>
        <v>0.56672212978369385</v>
      </c>
      <c r="G23" s="1497">
        <v>2795</v>
      </c>
      <c r="H23" s="1497">
        <v>1556</v>
      </c>
      <c r="I23" s="1490">
        <f t="shared" si="1"/>
        <v>0.55670840787119857</v>
      </c>
      <c r="J23" s="1491">
        <f t="shared" si="6"/>
        <v>5800</v>
      </c>
      <c r="K23" s="1515">
        <f t="shared" si="2"/>
        <v>3259</v>
      </c>
      <c r="L23" s="1546">
        <f t="shared" si="3"/>
        <v>0.56189655172413788</v>
      </c>
    </row>
    <row r="24" spans="1:12" s="43" customFormat="1">
      <c r="A24" s="90"/>
      <c r="B24" s="569" t="s">
        <v>6564</v>
      </c>
      <c r="C24" s="1496" t="s">
        <v>6565</v>
      </c>
      <c r="D24" s="1497">
        <v>6440</v>
      </c>
      <c r="E24" s="1497">
        <v>3454</v>
      </c>
      <c r="F24" s="1490">
        <f t="shared" si="0"/>
        <v>0.53633540372670807</v>
      </c>
      <c r="G24" s="1497">
        <v>7890</v>
      </c>
      <c r="H24" s="1497">
        <v>3876</v>
      </c>
      <c r="I24" s="1490">
        <f t="shared" si="1"/>
        <v>0.49125475285171105</v>
      </c>
      <c r="J24" s="1491">
        <f t="shared" si="6"/>
        <v>14330</v>
      </c>
      <c r="K24" s="1515">
        <f t="shared" si="2"/>
        <v>7330</v>
      </c>
      <c r="L24" s="1546">
        <f t="shared" si="3"/>
        <v>0.51151430565247735</v>
      </c>
    </row>
    <row r="25" spans="1:12" s="43" customFormat="1">
      <c r="A25" s="90"/>
      <c r="B25" s="569" t="s">
        <v>6566</v>
      </c>
      <c r="C25" s="1496" t="s">
        <v>6567</v>
      </c>
      <c r="D25" s="1497">
        <f>4494+9497</f>
        <v>13991</v>
      </c>
      <c r="E25" s="1497">
        <v>7881</v>
      </c>
      <c r="F25" s="1490">
        <f t="shared" si="0"/>
        <v>0.56329068687013084</v>
      </c>
      <c r="G25" s="1497">
        <f>3862+13170</f>
        <v>17032</v>
      </c>
      <c r="H25" s="1497">
        <v>8168</v>
      </c>
      <c r="I25" s="1490">
        <f t="shared" si="1"/>
        <v>0.47956787224048847</v>
      </c>
      <c r="J25" s="1491">
        <f t="shared" si="6"/>
        <v>31023</v>
      </c>
      <c r="K25" s="1515">
        <f t="shared" si="2"/>
        <v>16049</v>
      </c>
      <c r="L25" s="1546">
        <f t="shared" si="3"/>
        <v>0.51732585501079842</v>
      </c>
    </row>
    <row r="26" spans="1:12" s="43" customFormat="1">
      <c r="A26" s="90"/>
      <c r="B26" s="569" t="s">
        <v>6568</v>
      </c>
      <c r="C26" s="1496" t="s">
        <v>6569</v>
      </c>
      <c r="D26" s="1497">
        <v>272</v>
      </c>
      <c r="E26" s="1497">
        <v>184</v>
      </c>
      <c r="F26" s="1490">
        <f t="shared" si="0"/>
        <v>0.67647058823529416</v>
      </c>
      <c r="G26" s="1497">
        <v>128</v>
      </c>
      <c r="H26" s="1497">
        <v>8</v>
      </c>
      <c r="I26" s="1490">
        <f t="shared" si="1"/>
        <v>6.25E-2</v>
      </c>
      <c r="J26" s="1491">
        <f t="shared" si="6"/>
        <v>400</v>
      </c>
      <c r="K26" s="1515">
        <f t="shared" si="2"/>
        <v>192</v>
      </c>
      <c r="L26" s="1546">
        <f t="shared" si="3"/>
        <v>0.48</v>
      </c>
    </row>
    <row r="27" spans="1:12" s="43" customFormat="1" ht="25.5">
      <c r="A27" s="90"/>
      <c r="B27" s="569" t="s">
        <v>6570</v>
      </c>
      <c r="C27" s="1496" t="s">
        <v>6571</v>
      </c>
      <c r="D27" s="1497">
        <v>880</v>
      </c>
      <c r="E27" s="1497">
        <v>535</v>
      </c>
      <c r="F27" s="1490">
        <f t="shared" si="0"/>
        <v>0.60795454545454541</v>
      </c>
      <c r="G27" s="1497">
        <v>30</v>
      </c>
      <c r="H27" s="1497">
        <v>7</v>
      </c>
      <c r="I27" s="1490">
        <f t="shared" si="1"/>
        <v>0.23333333333333334</v>
      </c>
      <c r="J27" s="1491">
        <f t="shared" si="6"/>
        <v>910</v>
      </c>
      <c r="K27" s="1515">
        <f t="shared" si="2"/>
        <v>542</v>
      </c>
      <c r="L27" s="1546">
        <f t="shared" si="3"/>
        <v>0.5956043956043956</v>
      </c>
    </row>
    <row r="28" spans="1:12" s="43" customFormat="1">
      <c r="A28" s="90"/>
      <c r="B28" s="569" t="s">
        <v>6572</v>
      </c>
      <c r="C28" s="1496" t="s">
        <v>6573</v>
      </c>
      <c r="D28" s="1497">
        <v>4570</v>
      </c>
      <c r="E28" s="1497">
        <v>2192</v>
      </c>
      <c r="F28" s="1490">
        <f t="shared" si="0"/>
        <v>0.47964989059080965</v>
      </c>
      <c r="G28" s="1497">
        <v>7435</v>
      </c>
      <c r="H28" s="1497">
        <v>3582</v>
      </c>
      <c r="I28" s="1490">
        <f t="shared" si="1"/>
        <v>0.48177538668459985</v>
      </c>
      <c r="J28" s="1491">
        <f t="shared" si="6"/>
        <v>12005</v>
      </c>
      <c r="K28" s="1515">
        <f t="shared" si="2"/>
        <v>5774</v>
      </c>
      <c r="L28" s="1546">
        <f t="shared" si="3"/>
        <v>0.48096626405664306</v>
      </c>
    </row>
    <row r="29" spans="1:12" s="8" customFormat="1" ht="25.5">
      <c r="A29" s="92"/>
      <c r="B29" s="569" t="s">
        <v>6574</v>
      </c>
      <c r="C29" s="1496" t="s">
        <v>6575</v>
      </c>
      <c r="D29" s="1497">
        <v>2795</v>
      </c>
      <c r="E29" s="1497">
        <v>1711</v>
      </c>
      <c r="F29" s="1490">
        <f t="shared" si="0"/>
        <v>0.61216457960644011</v>
      </c>
      <c r="G29" s="1497">
        <v>3080</v>
      </c>
      <c r="H29" s="1497">
        <v>1702</v>
      </c>
      <c r="I29" s="1490">
        <f t="shared" si="1"/>
        <v>0.55259740259740264</v>
      </c>
      <c r="J29" s="1491">
        <f t="shared" si="6"/>
        <v>5875</v>
      </c>
      <c r="K29" s="1515">
        <f t="shared" si="2"/>
        <v>3413</v>
      </c>
      <c r="L29" s="1546">
        <f t="shared" si="3"/>
        <v>0.580936170212766</v>
      </c>
    </row>
    <row r="30" spans="1:12" s="8" customFormat="1">
      <c r="A30" s="92"/>
      <c r="B30" s="569" t="s">
        <v>6576</v>
      </c>
      <c r="C30" s="1496" t="s">
        <v>6577</v>
      </c>
      <c r="D30" s="1497">
        <v>18441</v>
      </c>
      <c r="E30" s="1497">
        <v>10463</v>
      </c>
      <c r="F30" s="1490">
        <f t="shared" si="0"/>
        <v>0.56737704029065672</v>
      </c>
      <c r="G30" s="1497">
        <v>44465</v>
      </c>
      <c r="H30" s="1497">
        <v>15629</v>
      </c>
      <c r="I30" s="1490">
        <f t="shared" si="1"/>
        <v>0.35148993590464411</v>
      </c>
      <c r="J30" s="1491">
        <f t="shared" si="6"/>
        <v>62906</v>
      </c>
      <c r="K30" s="1515">
        <f t="shared" si="2"/>
        <v>26092</v>
      </c>
      <c r="L30" s="1546">
        <f t="shared" si="3"/>
        <v>0.41477760467999875</v>
      </c>
    </row>
    <row r="31" spans="1:12" s="8" customFormat="1">
      <c r="A31" s="92"/>
      <c r="B31" s="569" t="s">
        <v>6578</v>
      </c>
      <c r="C31" s="1496" t="s">
        <v>6579</v>
      </c>
      <c r="D31" s="1497">
        <v>5060</v>
      </c>
      <c r="E31" s="1497">
        <v>3081</v>
      </c>
      <c r="F31" s="1490">
        <f t="shared" si="0"/>
        <v>0.6088932806324111</v>
      </c>
      <c r="G31" s="1497">
        <v>3010</v>
      </c>
      <c r="H31" s="1497">
        <v>1518</v>
      </c>
      <c r="I31" s="1490">
        <f t="shared" si="1"/>
        <v>0.50431893687707641</v>
      </c>
      <c r="J31" s="1491">
        <f t="shared" si="6"/>
        <v>8070</v>
      </c>
      <c r="K31" s="1515">
        <f t="shared" si="2"/>
        <v>4599</v>
      </c>
      <c r="L31" s="1546">
        <f t="shared" si="3"/>
        <v>0.56988847583643121</v>
      </c>
    </row>
    <row r="32" spans="1:12" s="8" customFormat="1" ht="11.25" customHeight="1">
      <c r="A32" s="90"/>
      <c r="B32" s="569" t="s">
        <v>6580</v>
      </c>
      <c r="C32" s="1496" t="s">
        <v>6581</v>
      </c>
      <c r="D32" s="1497">
        <v>5870</v>
      </c>
      <c r="E32" s="1497">
        <v>3101</v>
      </c>
      <c r="F32" s="1490">
        <f t="shared" si="0"/>
        <v>0.5282793867120954</v>
      </c>
      <c r="G32" s="1497">
        <v>10955</v>
      </c>
      <c r="H32" s="1497">
        <v>5201</v>
      </c>
      <c r="I32" s="1490">
        <f t="shared" si="1"/>
        <v>0.4747603833865815</v>
      </c>
      <c r="J32" s="1491">
        <f t="shared" si="6"/>
        <v>16825</v>
      </c>
      <c r="K32" s="1515">
        <f t="shared" si="2"/>
        <v>8302</v>
      </c>
      <c r="L32" s="1546">
        <f t="shared" si="3"/>
        <v>0.49343239227340269</v>
      </c>
    </row>
    <row r="33" spans="1:12" s="8" customFormat="1">
      <c r="A33" s="90"/>
      <c r="B33" s="569" t="s">
        <v>6582</v>
      </c>
      <c r="C33" s="1496" t="s">
        <v>6583</v>
      </c>
      <c r="D33" s="1497">
        <v>8670</v>
      </c>
      <c r="E33" s="1497">
        <v>4851</v>
      </c>
      <c r="F33" s="1490">
        <f t="shared" si="0"/>
        <v>0.55951557093425608</v>
      </c>
      <c r="G33" s="1497">
        <v>5675</v>
      </c>
      <c r="H33" s="1497">
        <v>2804</v>
      </c>
      <c r="I33" s="1490">
        <f t="shared" si="1"/>
        <v>0.49409691629955949</v>
      </c>
      <c r="J33" s="1491">
        <f t="shared" si="6"/>
        <v>14345</v>
      </c>
      <c r="K33" s="1515">
        <f t="shared" si="2"/>
        <v>7655</v>
      </c>
      <c r="L33" s="1546">
        <f t="shared" si="3"/>
        <v>0.53363541303590101</v>
      </c>
    </row>
    <row r="34" spans="1:12" s="8" customFormat="1">
      <c r="A34" s="90"/>
      <c r="B34" s="569" t="s">
        <v>6584</v>
      </c>
      <c r="C34" s="1496" t="s">
        <v>6585</v>
      </c>
      <c r="D34" s="1497">
        <v>7167</v>
      </c>
      <c r="E34" s="1497">
        <v>3925</v>
      </c>
      <c r="F34" s="1490">
        <f t="shared" si="0"/>
        <v>0.54764894656062513</v>
      </c>
      <c r="G34" s="1497">
        <v>2835</v>
      </c>
      <c r="H34" s="1497">
        <v>1493</v>
      </c>
      <c r="I34" s="1490">
        <f t="shared" si="1"/>
        <v>0.52663139329805997</v>
      </c>
      <c r="J34" s="1491">
        <f t="shared" si="6"/>
        <v>10002</v>
      </c>
      <c r="K34" s="1515">
        <f t="shared" si="2"/>
        <v>5418</v>
      </c>
      <c r="L34" s="1546">
        <f t="shared" si="3"/>
        <v>0.54169166166766647</v>
      </c>
    </row>
    <row r="35" spans="1:12" s="8" customFormat="1">
      <c r="A35" s="92"/>
      <c r="B35" s="569" t="s">
        <v>6586</v>
      </c>
      <c r="C35" s="1496" t="s">
        <v>6587</v>
      </c>
      <c r="D35" s="1497">
        <v>7073</v>
      </c>
      <c r="E35" s="1497">
        <v>3893</v>
      </c>
      <c r="F35" s="1490">
        <f t="shared" si="0"/>
        <v>0.550402940760639</v>
      </c>
      <c r="G35" s="1497">
        <v>2927</v>
      </c>
      <c r="H35" s="1497">
        <v>1449</v>
      </c>
      <c r="I35" s="1490">
        <f t="shared" si="1"/>
        <v>0.49504612230953193</v>
      </c>
      <c r="J35" s="1491">
        <f t="shared" si="6"/>
        <v>10000</v>
      </c>
      <c r="K35" s="1515">
        <f t="shared" si="2"/>
        <v>5342</v>
      </c>
      <c r="L35" s="1546">
        <f t="shared" si="3"/>
        <v>0.53420000000000001</v>
      </c>
    </row>
    <row r="36" spans="1:12" s="8" customFormat="1">
      <c r="A36" s="92"/>
      <c r="B36" s="569" t="s">
        <v>6588</v>
      </c>
      <c r="C36" s="1496" t="s">
        <v>6589</v>
      </c>
      <c r="D36" s="1497">
        <v>205</v>
      </c>
      <c r="E36" s="1497">
        <v>187</v>
      </c>
      <c r="F36" s="1490">
        <f t="shared" si="0"/>
        <v>0.91219512195121955</v>
      </c>
      <c r="G36" s="1497">
        <v>55</v>
      </c>
      <c r="H36" s="1497">
        <v>31</v>
      </c>
      <c r="I36" s="1490">
        <f t="shared" si="1"/>
        <v>0.5636363636363636</v>
      </c>
      <c r="J36" s="1491">
        <f t="shared" si="6"/>
        <v>260</v>
      </c>
      <c r="K36" s="1515">
        <f t="shared" si="2"/>
        <v>218</v>
      </c>
      <c r="L36" s="1546">
        <f t="shared" si="3"/>
        <v>0.83846153846153848</v>
      </c>
    </row>
    <row r="37" spans="1:12" s="8" customFormat="1">
      <c r="A37" s="92"/>
      <c r="B37" s="569" t="s">
        <v>6590</v>
      </c>
      <c r="C37" s="1496" t="s">
        <v>6591</v>
      </c>
      <c r="D37" s="1497">
        <v>1635</v>
      </c>
      <c r="E37" s="1497">
        <v>913</v>
      </c>
      <c r="F37" s="1490">
        <f t="shared" si="0"/>
        <v>0.55840978593272173</v>
      </c>
      <c r="G37" s="1497">
        <v>330</v>
      </c>
      <c r="H37" s="1497">
        <v>200</v>
      </c>
      <c r="I37" s="1490">
        <f t="shared" si="1"/>
        <v>0.60606060606060608</v>
      </c>
      <c r="J37" s="1491">
        <f t="shared" si="6"/>
        <v>1965</v>
      </c>
      <c r="K37" s="1515">
        <f t="shared" si="2"/>
        <v>1113</v>
      </c>
      <c r="L37" s="1546">
        <f t="shared" si="3"/>
        <v>0.56641221374045803</v>
      </c>
    </row>
    <row r="38" spans="1:12" s="8" customFormat="1">
      <c r="A38" s="92"/>
      <c r="B38" s="569" t="s">
        <v>6592</v>
      </c>
      <c r="C38" s="1496" t="s">
        <v>6593</v>
      </c>
      <c r="D38" s="1497">
        <v>200</v>
      </c>
      <c r="E38" s="1497">
        <v>102</v>
      </c>
      <c r="F38" s="1490">
        <f t="shared" si="0"/>
        <v>0.51</v>
      </c>
      <c r="G38" s="1497">
        <v>50</v>
      </c>
      <c r="H38" s="1497">
        <v>17</v>
      </c>
      <c r="I38" s="1490">
        <f t="shared" si="1"/>
        <v>0.34</v>
      </c>
      <c r="J38" s="1491">
        <f t="shared" si="6"/>
        <v>250</v>
      </c>
      <c r="K38" s="1515">
        <f t="shared" si="2"/>
        <v>119</v>
      </c>
      <c r="L38" s="1546">
        <f t="shared" si="3"/>
        <v>0.47599999999999998</v>
      </c>
    </row>
    <row r="39" spans="1:12" s="8" customFormat="1">
      <c r="A39" s="92"/>
      <c r="B39" s="569" t="s">
        <v>6594</v>
      </c>
      <c r="C39" s="1496" t="s">
        <v>6595</v>
      </c>
      <c r="D39" s="1497">
        <v>170</v>
      </c>
      <c r="E39" s="1497">
        <v>93</v>
      </c>
      <c r="F39" s="1490">
        <f t="shared" si="0"/>
        <v>0.54705882352941182</v>
      </c>
      <c r="G39" s="1497">
        <v>50</v>
      </c>
      <c r="H39" s="1497">
        <v>17</v>
      </c>
      <c r="I39" s="1490">
        <f t="shared" si="1"/>
        <v>0.34</v>
      </c>
      <c r="J39" s="1491">
        <f t="shared" si="6"/>
        <v>220</v>
      </c>
      <c r="K39" s="1515">
        <f t="shared" si="2"/>
        <v>110</v>
      </c>
      <c r="L39" s="1546">
        <f t="shared" si="3"/>
        <v>0.5</v>
      </c>
    </row>
    <row r="40" spans="1:12" s="8" customFormat="1" ht="25.5">
      <c r="A40" s="90"/>
      <c r="B40" s="569" t="s">
        <v>6596</v>
      </c>
      <c r="C40" s="1496" t="s">
        <v>6597</v>
      </c>
      <c r="D40" s="1497">
        <v>980</v>
      </c>
      <c r="E40" s="1497">
        <v>746</v>
      </c>
      <c r="F40" s="1490">
        <f t="shared" si="0"/>
        <v>0.76122448979591839</v>
      </c>
      <c r="G40" s="1497">
        <v>20</v>
      </c>
      <c r="H40" s="1497">
        <v>11</v>
      </c>
      <c r="I40" s="1490">
        <f t="shared" si="1"/>
        <v>0.55000000000000004</v>
      </c>
      <c r="J40" s="1491">
        <f t="shared" si="6"/>
        <v>1000</v>
      </c>
      <c r="K40" s="1515">
        <f t="shared" si="2"/>
        <v>757</v>
      </c>
      <c r="L40" s="1546">
        <f t="shared" si="3"/>
        <v>0.75700000000000001</v>
      </c>
    </row>
    <row r="41" spans="1:12" s="8" customFormat="1">
      <c r="A41" s="90"/>
      <c r="B41" s="569" t="s">
        <v>6598</v>
      </c>
      <c r="C41" s="1496" t="s">
        <v>6599</v>
      </c>
      <c r="D41" s="1497">
        <v>8265</v>
      </c>
      <c r="E41" s="1497">
        <v>4105</v>
      </c>
      <c r="F41" s="1490">
        <f t="shared" si="0"/>
        <v>0.49667271627344223</v>
      </c>
      <c r="G41" s="1497">
        <v>11295</v>
      </c>
      <c r="H41" s="1497">
        <v>5084</v>
      </c>
      <c r="I41" s="1490">
        <f t="shared" si="1"/>
        <v>0.45011066843736164</v>
      </c>
      <c r="J41" s="1491">
        <f t="shared" si="6"/>
        <v>19560</v>
      </c>
      <c r="K41" s="1515">
        <f t="shared" si="2"/>
        <v>9189</v>
      </c>
      <c r="L41" s="1546">
        <f t="shared" si="3"/>
        <v>0.46978527607361964</v>
      </c>
    </row>
    <row r="42" spans="1:12" s="8" customFormat="1" ht="25.5">
      <c r="A42" s="92"/>
      <c r="B42" s="569" t="s">
        <v>6600</v>
      </c>
      <c r="C42" s="1496" t="s">
        <v>6601</v>
      </c>
      <c r="D42" s="1497">
        <v>1485</v>
      </c>
      <c r="E42" s="1497">
        <v>743</v>
      </c>
      <c r="F42" s="1490">
        <f t="shared" si="0"/>
        <v>0.5003367003367003</v>
      </c>
      <c r="G42" s="1497">
        <v>1560</v>
      </c>
      <c r="H42" s="1497">
        <v>751</v>
      </c>
      <c r="I42" s="1490">
        <f t="shared" si="1"/>
        <v>0.48141025641025642</v>
      </c>
      <c r="J42" s="1491">
        <f t="shared" si="6"/>
        <v>3045</v>
      </c>
      <c r="K42" s="1515">
        <f t="shared" si="2"/>
        <v>1494</v>
      </c>
      <c r="L42" s="1546">
        <f t="shared" si="3"/>
        <v>0.49064039408866994</v>
      </c>
    </row>
    <row r="43" spans="1:12" s="8" customFormat="1">
      <c r="A43" s="92"/>
      <c r="B43" s="569" t="s">
        <v>6602</v>
      </c>
      <c r="C43" s="1496" t="s">
        <v>6603</v>
      </c>
      <c r="D43" s="1497">
        <v>9625</v>
      </c>
      <c r="E43" s="1497">
        <v>5140</v>
      </c>
      <c r="F43" s="1490">
        <f t="shared" si="0"/>
        <v>0.53402597402597407</v>
      </c>
      <c r="G43" s="1497">
        <v>17095</v>
      </c>
      <c r="H43" s="1497">
        <v>8152</v>
      </c>
      <c r="I43" s="1490">
        <f t="shared" si="1"/>
        <v>0.47686458028663353</v>
      </c>
      <c r="J43" s="1491">
        <f t="shared" si="6"/>
        <v>26720</v>
      </c>
      <c r="K43" s="1515">
        <f t="shared" si="2"/>
        <v>13292</v>
      </c>
      <c r="L43" s="1546">
        <f t="shared" si="3"/>
        <v>0.4974550898203593</v>
      </c>
    </row>
    <row r="44" spans="1:12" s="8" customFormat="1">
      <c r="A44" s="92"/>
      <c r="B44" s="569" t="s">
        <v>6604</v>
      </c>
      <c r="C44" s="1496" t="s">
        <v>6605</v>
      </c>
      <c r="D44" s="1497">
        <v>2305</v>
      </c>
      <c r="E44" s="1497">
        <v>1175</v>
      </c>
      <c r="F44" s="1490">
        <f t="shared" si="0"/>
        <v>0.50976138828633411</v>
      </c>
      <c r="G44" s="1497">
        <v>535</v>
      </c>
      <c r="H44" s="1497">
        <v>286</v>
      </c>
      <c r="I44" s="1490">
        <f t="shared" si="1"/>
        <v>0.53457943925233642</v>
      </c>
      <c r="J44" s="1491">
        <f t="shared" si="6"/>
        <v>2840</v>
      </c>
      <c r="K44" s="1515">
        <f t="shared" si="2"/>
        <v>1461</v>
      </c>
      <c r="L44" s="1546">
        <f t="shared" si="3"/>
        <v>0.5144366197183099</v>
      </c>
    </row>
    <row r="45" spans="1:12" s="8" customFormat="1">
      <c r="A45" s="92"/>
      <c r="B45" s="569" t="s">
        <v>6606</v>
      </c>
      <c r="C45" s="1496" t="s">
        <v>6607</v>
      </c>
      <c r="D45" s="1497">
        <v>1071</v>
      </c>
      <c r="E45" s="1497">
        <v>551</v>
      </c>
      <c r="F45" s="1490">
        <f t="shared" si="0"/>
        <v>0.51447245564892619</v>
      </c>
      <c r="G45" s="1497">
        <v>230</v>
      </c>
      <c r="H45" s="1497">
        <v>87</v>
      </c>
      <c r="I45" s="1490">
        <f t="shared" si="1"/>
        <v>0.37826086956521737</v>
      </c>
      <c r="J45" s="1491">
        <f t="shared" si="6"/>
        <v>1301</v>
      </c>
      <c r="K45" s="1515">
        <f t="shared" si="2"/>
        <v>638</v>
      </c>
      <c r="L45" s="1546">
        <f t="shared" si="3"/>
        <v>0.49039200614911604</v>
      </c>
    </row>
    <row r="46" spans="1:12" s="8" customFormat="1">
      <c r="A46" s="92"/>
      <c r="B46" s="569" t="s">
        <v>6608</v>
      </c>
      <c r="C46" s="1496" t="s">
        <v>6609</v>
      </c>
      <c r="D46" s="1497">
        <v>1732</v>
      </c>
      <c r="E46" s="1497">
        <v>839</v>
      </c>
      <c r="F46" s="1490">
        <f t="shared" si="0"/>
        <v>0.48441108545034645</v>
      </c>
      <c r="G46" s="1497">
        <v>170</v>
      </c>
      <c r="H46" s="1497">
        <v>56</v>
      </c>
      <c r="I46" s="1490">
        <f t="shared" si="1"/>
        <v>0.32941176470588235</v>
      </c>
      <c r="J46" s="1491">
        <f t="shared" si="6"/>
        <v>1902</v>
      </c>
      <c r="K46" s="1515">
        <f t="shared" si="2"/>
        <v>895</v>
      </c>
      <c r="L46" s="1546">
        <f t="shared" si="3"/>
        <v>0.47055730809674029</v>
      </c>
    </row>
    <row r="47" spans="1:12" s="8" customFormat="1">
      <c r="A47" s="92"/>
      <c r="B47" s="569" t="s">
        <v>6610</v>
      </c>
      <c r="C47" s="1496" t="s">
        <v>6611</v>
      </c>
      <c r="D47" s="1497">
        <v>1873</v>
      </c>
      <c r="E47" s="1497">
        <v>1025</v>
      </c>
      <c r="F47" s="1490">
        <f t="shared" si="0"/>
        <v>0.54725040042712225</v>
      </c>
      <c r="G47" s="1497">
        <v>530</v>
      </c>
      <c r="H47" s="1497">
        <v>276</v>
      </c>
      <c r="I47" s="1490">
        <f t="shared" si="1"/>
        <v>0.52075471698113207</v>
      </c>
      <c r="J47" s="1491">
        <f t="shared" si="6"/>
        <v>2403</v>
      </c>
      <c r="K47" s="1515">
        <f t="shared" si="2"/>
        <v>1301</v>
      </c>
      <c r="L47" s="1546">
        <f t="shared" si="3"/>
        <v>0.54140657511444024</v>
      </c>
    </row>
    <row r="48" spans="1:12" s="8" customFormat="1">
      <c r="A48" s="92"/>
      <c r="B48" s="569" t="s">
        <v>6612</v>
      </c>
      <c r="C48" s="1496" t="s">
        <v>6613</v>
      </c>
      <c r="D48" s="1497">
        <v>455</v>
      </c>
      <c r="E48" s="1497">
        <v>254</v>
      </c>
      <c r="F48" s="1490">
        <f t="shared" si="0"/>
        <v>0.55824175824175826</v>
      </c>
      <c r="G48" s="1497">
        <v>110</v>
      </c>
      <c r="H48" s="1497">
        <v>54</v>
      </c>
      <c r="I48" s="1490">
        <f t="shared" si="1"/>
        <v>0.49090909090909091</v>
      </c>
      <c r="J48" s="1491">
        <f t="shared" si="6"/>
        <v>565</v>
      </c>
      <c r="K48" s="1515">
        <f t="shared" si="2"/>
        <v>308</v>
      </c>
      <c r="L48" s="1546">
        <f t="shared" si="3"/>
        <v>0.54513274336283191</v>
      </c>
    </row>
    <row r="49" spans="1:12" s="8" customFormat="1">
      <c r="A49" s="92"/>
      <c r="B49" s="569" t="s">
        <v>6614</v>
      </c>
      <c r="C49" s="1496" t="s">
        <v>6615</v>
      </c>
      <c r="D49" s="1497">
        <v>3790</v>
      </c>
      <c r="E49" s="1497">
        <v>2231</v>
      </c>
      <c r="F49" s="1490">
        <f t="shared" si="0"/>
        <v>0.58865435356200524</v>
      </c>
      <c r="G49" s="1497">
        <v>6355</v>
      </c>
      <c r="H49" s="1497">
        <v>3247</v>
      </c>
      <c r="I49" s="1490">
        <f t="shared" si="1"/>
        <v>0.51093627065302916</v>
      </c>
      <c r="J49" s="1491">
        <f t="shared" si="6"/>
        <v>10145</v>
      </c>
      <c r="K49" s="1515">
        <f t="shared" si="2"/>
        <v>5478</v>
      </c>
      <c r="L49" s="1546">
        <f t="shared" si="3"/>
        <v>0.53997042878265156</v>
      </c>
    </row>
    <row r="50" spans="1:12" s="8" customFormat="1">
      <c r="A50" s="92"/>
      <c r="B50" s="569" t="s">
        <v>6616</v>
      </c>
      <c r="C50" s="1496" t="s">
        <v>6617</v>
      </c>
      <c r="D50" s="1497">
        <v>1105</v>
      </c>
      <c r="E50" s="1497">
        <v>879</v>
      </c>
      <c r="F50" s="1490">
        <f t="shared" si="0"/>
        <v>0.7954751131221719</v>
      </c>
      <c r="G50" s="1497">
        <v>3020</v>
      </c>
      <c r="H50" s="1497">
        <v>1587</v>
      </c>
      <c r="I50" s="1490">
        <f t="shared" si="1"/>
        <v>0.52549668874172184</v>
      </c>
      <c r="J50" s="1491">
        <f t="shared" si="6"/>
        <v>4125</v>
      </c>
      <c r="K50" s="1515">
        <f t="shared" si="2"/>
        <v>2466</v>
      </c>
      <c r="L50" s="1546">
        <f t="shared" si="3"/>
        <v>0.5978181818181818</v>
      </c>
    </row>
    <row r="51" spans="1:12" s="8" customFormat="1">
      <c r="A51" s="92"/>
      <c r="B51" s="569" t="s">
        <v>6618</v>
      </c>
      <c r="C51" s="1496" t="s">
        <v>6619</v>
      </c>
      <c r="D51" s="1497">
        <v>14615</v>
      </c>
      <c r="E51" s="1497">
        <v>8057</v>
      </c>
      <c r="F51" s="1490">
        <f t="shared" si="0"/>
        <v>0.55128292849811833</v>
      </c>
      <c r="G51" s="1497">
        <v>13215</v>
      </c>
      <c r="H51" s="1497">
        <v>6492</v>
      </c>
      <c r="I51" s="1490">
        <f t="shared" si="1"/>
        <v>0.49125993189557321</v>
      </c>
      <c r="J51" s="1491">
        <f t="shared" si="6"/>
        <v>27830</v>
      </c>
      <c r="K51" s="1515">
        <f t="shared" si="2"/>
        <v>14549</v>
      </c>
      <c r="L51" s="1546">
        <f t="shared" si="3"/>
        <v>0.52278117139777214</v>
      </c>
    </row>
    <row r="52" spans="1:12" s="8" customFormat="1">
      <c r="A52" s="90"/>
      <c r="B52" s="569" t="s">
        <v>6620</v>
      </c>
      <c r="C52" s="1496" t="s">
        <v>6621</v>
      </c>
      <c r="D52" s="1497">
        <v>8530</v>
      </c>
      <c r="E52" s="1497">
        <v>4871</v>
      </c>
      <c r="F52" s="1490">
        <f t="shared" si="0"/>
        <v>0.57104337631887458</v>
      </c>
      <c r="G52" s="1497">
        <v>8560</v>
      </c>
      <c r="H52" s="1497">
        <v>4450</v>
      </c>
      <c r="I52" s="1490">
        <f t="shared" si="1"/>
        <v>0.51985981308411211</v>
      </c>
      <c r="J52" s="1491">
        <f t="shared" si="6"/>
        <v>17090</v>
      </c>
      <c r="K52" s="1515">
        <f t="shared" si="2"/>
        <v>9321</v>
      </c>
      <c r="L52" s="1546">
        <f t="shared" si="3"/>
        <v>0.54540667056758341</v>
      </c>
    </row>
    <row r="53" spans="1:12" s="8" customFormat="1" ht="30" customHeight="1">
      <c r="A53" s="90"/>
      <c r="B53" s="569" t="s">
        <v>6622</v>
      </c>
      <c r="C53" s="1496" t="s">
        <v>6623</v>
      </c>
      <c r="D53" s="1497">
        <v>81</v>
      </c>
      <c r="E53" s="1497">
        <v>28</v>
      </c>
      <c r="F53" s="1490">
        <f t="shared" si="0"/>
        <v>0.34567901234567899</v>
      </c>
      <c r="G53" s="1497">
        <v>69</v>
      </c>
      <c r="H53" s="1497">
        <v>9</v>
      </c>
      <c r="I53" s="1490">
        <f t="shared" si="1"/>
        <v>0.13043478260869565</v>
      </c>
      <c r="J53" s="1491">
        <f t="shared" si="6"/>
        <v>150</v>
      </c>
      <c r="K53" s="1515">
        <f t="shared" si="2"/>
        <v>37</v>
      </c>
      <c r="L53" s="1546">
        <f t="shared" si="3"/>
        <v>0.24666666666666667</v>
      </c>
    </row>
    <row r="54" spans="1:12" s="8" customFormat="1" ht="25.5">
      <c r="A54" s="90"/>
      <c r="B54" s="569" t="s">
        <v>6624</v>
      </c>
      <c r="C54" s="1496" t="s">
        <v>6625</v>
      </c>
      <c r="D54" s="1497">
        <v>815</v>
      </c>
      <c r="E54" s="1497">
        <v>493</v>
      </c>
      <c r="F54" s="1490">
        <f t="shared" si="0"/>
        <v>0.60490797546012265</v>
      </c>
      <c r="G54" s="1497">
        <v>15</v>
      </c>
      <c r="H54" s="1497">
        <v>3</v>
      </c>
      <c r="I54" s="1490">
        <f t="shared" si="1"/>
        <v>0.2</v>
      </c>
      <c r="J54" s="1491">
        <f t="shared" si="6"/>
        <v>830</v>
      </c>
      <c r="K54" s="1515">
        <f t="shared" si="2"/>
        <v>496</v>
      </c>
      <c r="L54" s="1546">
        <f t="shared" si="3"/>
        <v>0.59759036144578315</v>
      </c>
    </row>
    <row r="55" spans="1:12" s="8" customFormat="1">
      <c r="A55" s="90"/>
      <c r="B55" s="569" t="s">
        <v>6626</v>
      </c>
      <c r="C55" s="1496" t="s">
        <v>6627</v>
      </c>
      <c r="D55" s="1497">
        <v>3995</v>
      </c>
      <c r="E55" s="1497">
        <v>2111</v>
      </c>
      <c r="F55" s="1490">
        <f t="shared" si="0"/>
        <v>0.52841051314142673</v>
      </c>
      <c r="G55" s="1497">
        <v>3720</v>
      </c>
      <c r="H55" s="1497">
        <v>1811</v>
      </c>
      <c r="I55" s="1490">
        <f t="shared" si="1"/>
        <v>0.4868279569892473</v>
      </c>
      <c r="J55" s="1491">
        <f t="shared" si="6"/>
        <v>7715</v>
      </c>
      <c r="K55" s="1515">
        <f t="shared" si="2"/>
        <v>3922</v>
      </c>
      <c r="L55" s="1546">
        <f t="shared" si="3"/>
        <v>0.50836033700583283</v>
      </c>
    </row>
    <row r="56" spans="1:12" s="8" customFormat="1">
      <c r="A56" s="90"/>
      <c r="B56" s="569" t="s">
        <v>6628</v>
      </c>
      <c r="C56" s="1496" t="s">
        <v>6629</v>
      </c>
      <c r="D56" s="1497">
        <v>7470</v>
      </c>
      <c r="E56" s="1497">
        <v>3841</v>
      </c>
      <c r="F56" s="1490">
        <f t="shared" si="0"/>
        <v>0.51419009370816604</v>
      </c>
      <c r="G56" s="1497">
        <v>12620</v>
      </c>
      <c r="H56" s="1497">
        <v>5887</v>
      </c>
      <c r="I56" s="1490">
        <f t="shared" si="1"/>
        <v>0.46648177496038035</v>
      </c>
      <c r="J56" s="1491">
        <f t="shared" si="6"/>
        <v>20090</v>
      </c>
      <c r="K56" s="1515">
        <f t="shared" si="2"/>
        <v>9728</v>
      </c>
      <c r="L56" s="1546">
        <f t="shared" si="3"/>
        <v>0.4842210054753609</v>
      </c>
    </row>
    <row r="57" spans="1:12" s="8" customFormat="1" ht="25.5">
      <c r="A57" s="90"/>
      <c r="B57" s="569" t="s">
        <v>6630</v>
      </c>
      <c r="C57" s="1496" t="s">
        <v>6631</v>
      </c>
      <c r="D57" s="1497">
        <v>1505</v>
      </c>
      <c r="E57" s="1497">
        <v>672</v>
      </c>
      <c r="F57" s="1490">
        <f t="shared" si="0"/>
        <v>0.44651162790697674</v>
      </c>
      <c r="G57" s="1497">
        <v>380</v>
      </c>
      <c r="H57" s="1497">
        <v>121</v>
      </c>
      <c r="I57" s="1490">
        <f t="shared" si="1"/>
        <v>0.31842105263157894</v>
      </c>
      <c r="J57" s="1491">
        <f t="shared" si="6"/>
        <v>1885</v>
      </c>
      <c r="K57" s="1515">
        <f t="shared" si="2"/>
        <v>793</v>
      </c>
      <c r="L57" s="1546">
        <f t="shared" si="3"/>
        <v>0.4206896551724138</v>
      </c>
    </row>
    <row r="58" spans="1:12" s="8" customFormat="1">
      <c r="A58" s="92"/>
      <c r="B58" s="569" t="s">
        <v>6632</v>
      </c>
      <c r="C58" s="1496" t="s">
        <v>6633</v>
      </c>
      <c r="D58" s="1497">
        <v>100</v>
      </c>
      <c r="E58" s="1497">
        <v>5</v>
      </c>
      <c r="F58" s="1490">
        <f t="shared" si="0"/>
        <v>0.05</v>
      </c>
      <c r="G58" s="1497"/>
      <c r="H58" s="1497"/>
      <c r="I58" s="1490" t="e">
        <f t="shared" si="1"/>
        <v>#DIV/0!</v>
      </c>
      <c r="J58" s="1491"/>
      <c r="K58" s="1515">
        <f t="shared" si="2"/>
        <v>5</v>
      </c>
      <c r="L58" s="1546" t="e">
        <f t="shared" si="3"/>
        <v>#DIV/0!</v>
      </c>
    </row>
    <row r="59" spans="1:12" s="8" customFormat="1" ht="25.5">
      <c r="A59" s="90"/>
      <c r="B59" s="569" t="s">
        <v>6634</v>
      </c>
      <c r="C59" s="1496" t="s">
        <v>6635</v>
      </c>
      <c r="D59" s="1497">
        <v>593</v>
      </c>
      <c r="E59" s="1497">
        <v>320</v>
      </c>
      <c r="F59" s="1490">
        <f t="shared" si="0"/>
        <v>0.53962900505902189</v>
      </c>
      <c r="G59" s="1497">
        <v>7</v>
      </c>
      <c r="H59" s="1497"/>
      <c r="I59" s="1490">
        <f t="shared" si="1"/>
        <v>0</v>
      </c>
      <c r="J59" s="1491">
        <f t="shared" ref="J59:K90" si="7">+D59+G59</f>
        <v>600</v>
      </c>
      <c r="K59" s="1515">
        <f t="shared" si="2"/>
        <v>320</v>
      </c>
      <c r="L59" s="1546">
        <f t="shared" si="3"/>
        <v>0.53333333333333333</v>
      </c>
    </row>
    <row r="60" spans="1:12" s="8" customFormat="1" ht="39.950000000000003" customHeight="1">
      <c r="A60" s="90"/>
      <c r="B60" s="569" t="s">
        <v>6636</v>
      </c>
      <c r="C60" s="1496" t="s">
        <v>6637</v>
      </c>
      <c r="D60" s="1497">
        <v>20</v>
      </c>
      <c r="E60" s="1497">
        <v>12</v>
      </c>
      <c r="F60" s="1490">
        <f t="shared" si="0"/>
        <v>0.6</v>
      </c>
      <c r="G60" s="1497">
        <v>480</v>
      </c>
      <c r="H60" s="1497">
        <v>184</v>
      </c>
      <c r="I60" s="1490">
        <f t="shared" si="1"/>
        <v>0.38333333333333336</v>
      </c>
      <c r="J60" s="1491">
        <f t="shared" si="7"/>
        <v>500</v>
      </c>
      <c r="K60" s="1515">
        <f t="shared" si="2"/>
        <v>196</v>
      </c>
      <c r="L60" s="1546">
        <f t="shared" si="3"/>
        <v>0.39200000000000002</v>
      </c>
    </row>
    <row r="61" spans="1:12" s="8" customFormat="1" ht="25.5">
      <c r="A61" s="90"/>
      <c r="B61" s="569" t="s">
        <v>6638</v>
      </c>
      <c r="C61" s="1496" t="s">
        <v>6639</v>
      </c>
      <c r="D61" s="1497">
        <v>1025</v>
      </c>
      <c r="E61" s="1497">
        <v>534</v>
      </c>
      <c r="F61" s="1490">
        <f t="shared" si="0"/>
        <v>0.52097560975609758</v>
      </c>
      <c r="G61" s="1497">
        <v>50</v>
      </c>
      <c r="H61" s="1497">
        <v>11</v>
      </c>
      <c r="I61" s="1490">
        <f t="shared" si="1"/>
        <v>0.22</v>
      </c>
      <c r="J61" s="1491">
        <f t="shared" si="7"/>
        <v>1075</v>
      </c>
      <c r="K61" s="1515">
        <f t="shared" si="2"/>
        <v>545</v>
      </c>
      <c r="L61" s="1546">
        <f t="shared" si="3"/>
        <v>0.50697674418604655</v>
      </c>
    </row>
    <row r="62" spans="1:12" s="8" customFormat="1" ht="25.5">
      <c r="A62" s="90"/>
      <c r="B62" s="569" t="s">
        <v>6640</v>
      </c>
      <c r="C62" s="1496" t="s">
        <v>6641</v>
      </c>
      <c r="D62" s="1497">
        <v>923</v>
      </c>
      <c r="E62" s="1497">
        <v>480</v>
      </c>
      <c r="F62" s="1490">
        <f t="shared" si="0"/>
        <v>0.52004333694474536</v>
      </c>
      <c r="G62" s="1497">
        <v>77</v>
      </c>
      <c r="H62" s="1497">
        <v>19</v>
      </c>
      <c r="I62" s="1490">
        <f t="shared" si="1"/>
        <v>0.24675324675324675</v>
      </c>
      <c r="J62" s="1491">
        <f t="shared" si="7"/>
        <v>1000</v>
      </c>
      <c r="K62" s="1515">
        <f t="shared" si="2"/>
        <v>499</v>
      </c>
      <c r="L62" s="1546">
        <f t="shared" si="3"/>
        <v>0.499</v>
      </c>
    </row>
    <row r="63" spans="1:12" s="8" customFormat="1" ht="26.25" thickBot="1">
      <c r="A63" s="94"/>
      <c r="B63" s="569" t="s">
        <v>6642</v>
      </c>
      <c r="C63" s="1496" t="s">
        <v>6643</v>
      </c>
      <c r="D63" s="1497">
        <v>2658</v>
      </c>
      <c r="E63" s="1497">
        <v>1524</v>
      </c>
      <c r="F63" s="1490">
        <f t="shared" si="0"/>
        <v>0.57336343115124155</v>
      </c>
      <c r="G63" s="1497">
        <v>342</v>
      </c>
      <c r="H63" s="1497">
        <v>126</v>
      </c>
      <c r="I63" s="1490">
        <f t="shared" si="1"/>
        <v>0.36842105263157893</v>
      </c>
      <c r="J63" s="1491">
        <f t="shared" si="7"/>
        <v>3000</v>
      </c>
      <c r="K63" s="1515">
        <f t="shared" si="2"/>
        <v>1650</v>
      </c>
      <c r="L63" s="1546">
        <f t="shared" si="3"/>
        <v>0.55000000000000004</v>
      </c>
    </row>
    <row r="64" spans="1:12" s="8" customFormat="1" ht="13.5" thickTop="1">
      <c r="A64" s="95"/>
      <c r="B64" s="569" t="s">
        <v>6644</v>
      </c>
      <c r="C64" s="1496" t="s">
        <v>6645</v>
      </c>
      <c r="D64" s="1497">
        <v>6850</v>
      </c>
      <c r="E64" s="1497">
        <v>3708</v>
      </c>
      <c r="F64" s="1490">
        <f t="shared" si="0"/>
        <v>0.54131386861313868</v>
      </c>
      <c r="G64" s="1497">
        <v>7770</v>
      </c>
      <c r="H64" s="1497">
        <v>3936</v>
      </c>
      <c r="I64" s="1490">
        <f t="shared" si="1"/>
        <v>0.50656370656370653</v>
      </c>
      <c r="J64" s="1491">
        <f t="shared" si="7"/>
        <v>14620</v>
      </c>
      <c r="K64" s="1515">
        <f t="shared" si="2"/>
        <v>7644</v>
      </c>
      <c r="L64" s="1546">
        <f t="shared" si="3"/>
        <v>0.52284541723666211</v>
      </c>
    </row>
    <row r="65" spans="1:12" s="8" customFormat="1" ht="25.5">
      <c r="A65" s="96"/>
      <c r="B65" s="569" t="s">
        <v>6646</v>
      </c>
      <c r="C65" s="1496" t="s">
        <v>6647</v>
      </c>
      <c r="D65" s="1497">
        <v>980</v>
      </c>
      <c r="E65" s="1497">
        <v>521</v>
      </c>
      <c r="F65" s="1490">
        <f t="shared" si="0"/>
        <v>0.53163265306122454</v>
      </c>
      <c r="G65" s="1497">
        <v>20</v>
      </c>
      <c r="H65" s="1497">
        <v>3</v>
      </c>
      <c r="I65" s="1490">
        <f t="shared" si="1"/>
        <v>0.15</v>
      </c>
      <c r="J65" s="1491">
        <f t="shared" si="7"/>
        <v>1000</v>
      </c>
      <c r="K65" s="1515">
        <f t="shared" si="2"/>
        <v>524</v>
      </c>
      <c r="L65" s="1546">
        <f t="shared" si="3"/>
        <v>0.52400000000000002</v>
      </c>
    </row>
    <row r="66" spans="1:12" s="8" customFormat="1" ht="13.5" customHeight="1" thickBot="1">
      <c r="A66" s="97"/>
      <c r="B66" s="569" t="s">
        <v>6648</v>
      </c>
      <c r="C66" s="1496" t="s">
        <v>6649</v>
      </c>
      <c r="D66" s="1497">
        <v>480</v>
      </c>
      <c r="E66" s="1497">
        <v>340</v>
      </c>
      <c r="F66" s="1490">
        <f t="shared" si="0"/>
        <v>0.70833333333333337</v>
      </c>
      <c r="G66" s="1497">
        <v>325</v>
      </c>
      <c r="H66" s="1497">
        <v>174</v>
      </c>
      <c r="I66" s="1490">
        <f t="shared" si="1"/>
        <v>0.53538461538461535</v>
      </c>
      <c r="J66" s="1491">
        <f t="shared" si="7"/>
        <v>805</v>
      </c>
      <c r="K66" s="1515">
        <f t="shared" si="2"/>
        <v>514</v>
      </c>
      <c r="L66" s="1546">
        <f t="shared" si="3"/>
        <v>0.6385093167701863</v>
      </c>
    </row>
    <row r="67" spans="1:12" s="44" customFormat="1" ht="27" customHeight="1">
      <c r="A67" s="676"/>
      <c r="B67" s="569" t="s">
        <v>6650</v>
      </c>
      <c r="C67" s="1496" t="s">
        <v>6651</v>
      </c>
      <c r="D67" s="1497">
        <v>14906</v>
      </c>
      <c r="E67" s="1497">
        <v>8288</v>
      </c>
      <c r="F67" s="1490">
        <f t="shared" si="0"/>
        <v>0.55601771098886354</v>
      </c>
      <c r="G67" s="1497">
        <v>2694</v>
      </c>
      <c r="H67" s="1497">
        <v>1502</v>
      </c>
      <c r="I67" s="1490">
        <f t="shared" si="1"/>
        <v>0.55753526354862659</v>
      </c>
      <c r="J67" s="1491">
        <f t="shared" si="7"/>
        <v>17600</v>
      </c>
      <c r="K67" s="1515">
        <f t="shared" si="2"/>
        <v>9790</v>
      </c>
      <c r="L67" s="1546">
        <f t="shared" si="3"/>
        <v>0.55625000000000002</v>
      </c>
    </row>
    <row r="68" spans="1:12" s="44" customFormat="1" ht="21.75" customHeight="1">
      <c r="A68" s="674"/>
      <c r="B68" s="569" t="s">
        <v>6652</v>
      </c>
      <c r="C68" s="1496" t="s">
        <v>6653</v>
      </c>
      <c r="D68" s="1497">
        <v>10487</v>
      </c>
      <c r="E68" s="1497">
        <v>5953</v>
      </c>
      <c r="F68" s="1490">
        <f t="shared" si="0"/>
        <v>0.56765519214265281</v>
      </c>
      <c r="G68" s="1497">
        <v>1513</v>
      </c>
      <c r="H68" s="1497">
        <v>747</v>
      </c>
      <c r="I68" s="1490">
        <f t="shared" si="1"/>
        <v>0.49372108393919367</v>
      </c>
      <c r="J68" s="1491">
        <f t="shared" si="7"/>
        <v>12000</v>
      </c>
      <c r="K68" s="1515">
        <f t="shared" si="2"/>
        <v>6700</v>
      </c>
      <c r="L68" s="1546">
        <f t="shared" si="3"/>
        <v>0.55833333333333335</v>
      </c>
    </row>
    <row r="69" spans="1:12" ht="15.95" customHeight="1">
      <c r="B69" s="569" t="s">
        <v>6654</v>
      </c>
      <c r="C69" s="1496" t="s">
        <v>6655</v>
      </c>
      <c r="D69" s="1497">
        <v>800</v>
      </c>
      <c r="E69" s="1497">
        <v>389</v>
      </c>
      <c r="F69" s="1490">
        <f t="shared" si="0"/>
        <v>0.48625000000000002</v>
      </c>
      <c r="G69" s="1497">
        <v>60</v>
      </c>
      <c r="H69" s="1497">
        <v>20</v>
      </c>
      <c r="I69" s="1490">
        <f t="shared" si="1"/>
        <v>0.33333333333333331</v>
      </c>
      <c r="J69" s="1491">
        <f t="shared" si="7"/>
        <v>860</v>
      </c>
      <c r="K69" s="1515">
        <f t="shared" si="2"/>
        <v>409</v>
      </c>
      <c r="L69" s="1546">
        <f t="shared" si="3"/>
        <v>0.4755813953488372</v>
      </c>
    </row>
    <row r="70" spans="1:12" ht="15.95" customHeight="1">
      <c r="B70" s="569" t="s">
        <v>6656</v>
      </c>
      <c r="C70" s="1496" t="s">
        <v>6657</v>
      </c>
      <c r="D70" s="1497">
        <v>8305</v>
      </c>
      <c r="E70" s="1497">
        <v>4690</v>
      </c>
      <c r="F70" s="1490">
        <f t="shared" si="0"/>
        <v>0.56472004816375676</v>
      </c>
      <c r="G70" s="1497">
        <v>5460</v>
      </c>
      <c r="H70" s="1497">
        <v>2738</v>
      </c>
      <c r="I70" s="1490">
        <f t="shared" si="1"/>
        <v>0.50146520146520146</v>
      </c>
      <c r="J70" s="1491">
        <f t="shared" si="7"/>
        <v>13765</v>
      </c>
      <c r="K70" s="1515">
        <f t="shared" si="2"/>
        <v>7428</v>
      </c>
      <c r="L70" s="1546">
        <f t="shared" si="3"/>
        <v>0.53962949509625868</v>
      </c>
    </row>
    <row r="71" spans="1:12" ht="15.95" customHeight="1">
      <c r="B71" s="569" t="s">
        <v>6658</v>
      </c>
      <c r="C71" s="1496" t="s">
        <v>6659</v>
      </c>
      <c r="D71" s="1497">
        <v>1346</v>
      </c>
      <c r="E71" s="1497">
        <v>804</v>
      </c>
      <c r="F71" s="1490">
        <f t="shared" si="0"/>
        <v>0.59732540861812777</v>
      </c>
      <c r="G71" s="1497">
        <v>154</v>
      </c>
      <c r="H71" s="1497">
        <v>141</v>
      </c>
      <c r="I71" s="1490">
        <f t="shared" si="1"/>
        <v>0.91558441558441561</v>
      </c>
      <c r="J71" s="1491">
        <f t="shared" si="7"/>
        <v>1500</v>
      </c>
      <c r="K71" s="1515">
        <f t="shared" si="2"/>
        <v>945</v>
      </c>
      <c r="L71" s="1546">
        <f t="shared" si="3"/>
        <v>0.63</v>
      </c>
    </row>
    <row r="72" spans="1:12" ht="15.95" customHeight="1">
      <c r="B72" s="569" t="s">
        <v>6660</v>
      </c>
      <c r="C72" s="1496" t="s">
        <v>6661</v>
      </c>
      <c r="D72" s="1497">
        <v>659</v>
      </c>
      <c r="E72" s="1497">
        <v>344</v>
      </c>
      <c r="F72" s="1490">
        <f t="shared" ref="F72:F121" si="8">+E72/D72</f>
        <v>0.52200303490136568</v>
      </c>
      <c r="G72" s="1497">
        <v>61</v>
      </c>
      <c r="H72" s="1497">
        <v>15</v>
      </c>
      <c r="I72" s="1490">
        <f t="shared" ref="I72:I124" si="9">+H72/G72</f>
        <v>0.24590163934426229</v>
      </c>
      <c r="J72" s="1491">
        <f t="shared" si="7"/>
        <v>720</v>
      </c>
      <c r="K72" s="1515">
        <f t="shared" si="7"/>
        <v>359</v>
      </c>
      <c r="L72" s="1546">
        <f t="shared" ref="L72:L124" si="10">+K72/J72</f>
        <v>0.49861111111111112</v>
      </c>
    </row>
    <row r="73" spans="1:12" ht="15.95" customHeight="1">
      <c r="B73" s="569" t="s">
        <v>6662</v>
      </c>
      <c r="C73" s="1496" t="s">
        <v>6663</v>
      </c>
      <c r="D73" s="1497">
        <v>658</v>
      </c>
      <c r="E73" s="1497">
        <v>505</v>
      </c>
      <c r="F73" s="1490">
        <f t="shared" si="8"/>
        <v>0.76747720364741645</v>
      </c>
      <c r="G73" s="1497">
        <v>4143</v>
      </c>
      <c r="H73" s="1497">
        <v>2280</v>
      </c>
      <c r="I73" s="1490">
        <f t="shared" si="9"/>
        <v>0.55032585083272989</v>
      </c>
      <c r="J73" s="1491">
        <f t="shared" si="7"/>
        <v>4801</v>
      </c>
      <c r="K73" s="1515">
        <f t="shared" si="7"/>
        <v>2785</v>
      </c>
      <c r="L73" s="1546">
        <f t="shared" si="10"/>
        <v>0.58008748177463032</v>
      </c>
    </row>
    <row r="74" spans="1:12" ht="15.95" customHeight="1">
      <c r="B74" s="569" t="s">
        <v>6664</v>
      </c>
      <c r="C74" s="1496" t="s">
        <v>6665</v>
      </c>
      <c r="D74" s="1497">
        <v>480</v>
      </c>
      <c r="E74" s="1497">
        <v>341</v>
      </c>
      <c r="F74" s="1490">
        <f t="shared" si="8"/>
        <v>0.7104166666666667</v>
      </c>
      <c r="G74" s="1497">
        <v>300</v>
      </c>
      <c r="H74" s="1497">
        <v>173</v>
      </c>
      <c r="I74" s="1490">
        <f t="shared" si="9"/>
        <v>0.57666666666666666</v>
      </c>
      <c r="J74" s="1491">
        <f t="shared" si="7"/>
        <v>780</v>
      </c>
      <c r="K74" s="1515">
        <f t="shared" si="7"/>
        <v>514</v>
      </c>
      <c r="L74" s="1546">
        <f t="shared" si="10"/>
        <v>0.65897435897435896</v>
      </c>
    </row>
    <row r="75" spans="1:12" ht="15.95" customHeight="1">
      <c r="B75" s="569" t="s">
        <v>6666</v>
      </c>
      <c r="C75" s="1496" t="s">
        <v>6667</v>
      </c>
      <c r="D75" s="1497">
        <v>16080</v>
      </c>
      <c r="E75" s="1497">
        <v>8720</v>
      </c>
      <c r="F75" s="1490">
        <f t="shared" si="8"/>
        <v>0.54228855721393032</v>
      </c>
      <c r="G75" s="1497">
        <v>15730</v>
      </c>
      <c r="H75" s="1497">
        <v>7479</v>
      </c>
      <c r="I75" s="1490">
        <f t="shared" si="9"/>
        <v>0.47546090273363001</v>
      </c>
      <c r="J75" s="1491">
        <f t="shared" si="7"/>
        <v>31810</v>
      </c>
      <c r="K75" s="1515">
        <f t="shared" si="7"/>
        <v>16199</v>
      </c>
      <c r="L75" s="1546">
        <f t="shared" si="10"/>
        <v>0.50924237661112859</v>
      </c>
    </row>
    <row r="76" spans="1:12" ht="15.95" customHeight="1">
      <c r="B76" s="569" t="s">
        <v>6668</v>
      </c>
      <c r="C76" s="1496" t="s">
        <v>6669</v>
      </c>
      <c r="D76" s="1497">
        <v>1700</v>
      </c>
      <c r="E76" s="1497">
        <v>759</v>
      </c>
      <c r="F76" s="1490">
        <f t="shared" si="8"/>
        <v>0.44647058823529412</v>
      </c>
      <c r="G76" s="1497">
        <v>28945</v>
      </c>
      <c r="H76" s="1497">
        <v>10049</v>
      </c>
      <c r="I76" s="1490">
        <f t="shared" si="9"/>
        <v>0.34717567801001903</v>
      </c>
      <c r="J76" s="1491">
        <f t="shared" si="7"/>
        <v>30645</v>
      </c>
      <c r="K76" s="1515">
        <f t="shared" si="7"/>
        <v>10808</v>
      </c>
      <c r="L76" s="1546">
        <f t="shared" si="10"/>
        <v>0.35268396149453418</v>
      </c>
    </row>
    <row r="77" spans="1:12" ht="15.95" customHeight="1">
      <c r="B77" s="569" t="s">
        <v>6452</v>
      </c>
      <c r="C77" s="1496" t="s">
        <v>6670</v>
      </c>
      <c r="D77" s="1497">
        <v>43325</v>
      </c>
      <c r="E77" s="1497">
        <v>22149</v>
      </c>
      <c r="F77" s="1490">
        <f t="shared" si="8"/>
        <v>0.5112290825158684</v>
      </c>
      <c r="G77" s="1497">
        <v>90</v>
      </c>
      <c r="H77" s="1497">
        <v>2</v>
      </c>
      <c r="I77" s="1490">
        <f t="shared" si="9"/>
        <v>2.2222222222222223E-2</v>
      </c>
      <c r="J77" s="1491">
        <f t="shared" si="7"/>
        <v>43415</v>
      </c>
      <c r="K77" s="1515">
        <f t="shared" si="7"/>
        <v>22151</v>
      </c>
      <c r="L77" s="1546">
        <f t="shared" si="10"/>
        <v>0.51021536335367956</v>
      </c>
    </row>
    <row r="78" spans="1:12" ht="15.95" customHeight="1">
      <c r="B78" s="569" t="s">
        <v>6454</v>
      </c>
      <c r="C78" s="1496" t="s">
        <v>6671</v>
      </c>
      <c r="D78" s="1497"/>
      <c r="E78" s="1497"/>
      <c r="F78" s="1490" t="e">
        <f t="shared" si="8"/>
        <v>#DIV/0!</v>
      </c>
      <c r="G78" s="1497"/>
      <c r="H78" s="1497"/>
      <c r="I78" s="1490" t="e">
        <f t="shared" si="9"/>
        <v>#DIV/0!</v>
      </c>
      <c r="J78" s="1491">
        <f t="shared" si="7"/>
        <v>0</v>
      </c>
      <c r="K78" s="1515">
        <f t="shared" si="7"/>
        <v>0</v>
      </c>
      <c r="L78" s="1546" t="e">
        <f t="shared" si="10"/>
        <v>#DIV/0!</v>
      </c>
    </row>
    <row r="79" spans="1:12" ht="15.95" customHeight="1">
      <c r="B79" s="569" t="s">
        <v>6672</v>
      </c>
      <c r="C79" s="1496" t="s">
        <v>6673</v>
      </c>
      <c r="D79" s="1497">
        <v>165</v>
      </c>
      <c r="E79" s="1497">
        <v>102</v>
      </c>
      <c r="F79" s="1490">
        <f t="shared" si="8"/>
        <v>0.61818181818181817</v>
      </c>
      <c r="G79" s="1497">
        <v>2</v>
      </c>
      <c r="H79" s="1497">
        <v>2</v>
      </c>
      <c r="I79" s="1490">
        <f t="shared" si="9"/>
        <v>1</v>
      </c>
      <c r="J79" s="1491">
        <f t="shared" si="7"/>
        <v>167</v>
      </c>
      <c r="K79" s="1515">
        <f t="shared" si="7"/>
        <v>104</v>
      </c>
      <c r="L79" s="1546">
        <f t="shared" si="10"/>
        <v>0.6227544910179641</v>
      </c>
    </row>
    <row r="80" spans="1:12" ht="15.95" customHeight="1">
      <c r="B80" s="569" t="s">
        <v>6674</v>
      </c>
      <c r="C80" s="1496" t="s">
        <v>6675</v>
      </c>
      <c r="D80" s="1497">
        <v>40</v>
      </c>
      <c r="E80" s="1497">
        <v>24</v>
      </c>
      <c r="F80" s="1490">
        <f t="shared" si="8"/>
        <v>0.6</v>
      </c>
      <c r="G80" s="1497">
        <v>7</v>
      </c>
      <c r="H80" s="1497">
        <v>2</v>
      </c>
      <c r="I80" s="1490">
        <f t="shared" si="9"/>
        <v>0.2857142857142857</v>
      </c>
      <c r="J80" s="1491">
        <f t="shared" si="7"/>
        <v>47</v>
      </c>
      <c r="K80" s="1515">
        <f t="shared" si="7"/>
        <v>26</v>
      </c>
      <c r="L80" s="1546">
        <f t="shared" si="10"/>
        <v>0.55319148936170215</v>
      </c>
    </row>
    <row r="81" spans="2:12" ht="15.95" customHeight="1">
      <c r="B81" s="569" t="s">
        <v>6676</v>
      </c>
      <c r="C81" s="1496" t="s">
        <v>6677</v>
      </c>
      <c r="D81" s="1497">
        <v>30855</v>
      </c>
      <c r="E81" s="1497">
        <v>16711</v>
      </c>
      <c r="F81" s="1490">
        <f t="shared" si="8"/>
        <v>0.54159779614325065</v>
      </c>
      <c r="G81" s="1497">
        <v>31645</v>
      </c>
      <c r="H81" s="1497">
        <v>14656</v>
      </c>
      <c r="I81" s="1490">
        <f t="shared" si="9"/>
        <v>0.46313793648285667</v>
      </c>
      <c r="J81" s="1491">
        <f t="shared" si="7"/>
        <v>62500</v>
      </c>
      <c r="K81" s="1515">
        <f t="shared" si="7"/>
        <v>31367</v>
      </c>
      <c r="L81" s="1546">
        <f t="shared" si="10"/>
        <v>0.50187199999999998</v>
      </c>
    </row>
    <row r="82" spans="2:12" ht="15.95" customHeight="1">
      <c r="B82" s="569" t="s">
        <v>5297</v>
      </c>
      <c r="C82" s="1496" t="s">
        <v>6678</v>
      </c>
      <c r="D82" s="1497"/>
      <c r="E82" s="1497"/>
      <c r="F82" s="1490" t="e">
        <f t="shared" si="8"/>
        <v>#DIV/0!</v>
      </c>
      <c r="G82" s="1497"/>
      <c r="H82" s="1497"/>
      <c r="I82" s="1490" t="e">
        <f t="shared" si="9"/>
        <v>#DIV/0!</v>
      </c>
      <c r="J82" s="1491">
        <f t="shared" si="7"/>
        <v>0</v>
      </c>
      <c r="K82" s="1515">
        <f t="shared" si="7"/>
        <v>0</v>
      </c>
      <c r="L82" s="1546" t="e">
        <f t="shared" si="10"/>
        <v>#DIV/0!</v>
      </c>
    </row>
    <row r="83" spans="2:12" ht="15.95" customHeight="1">
      <c r="B83" s="569" t="s">
        <v>6679</v>
      </c>
      <c r="C83" s="1496" t="s">
        <v>6680</v>
      </c>
      <c r="D83" s="1497">
        <v>5</v>
      </c>
      <c r="E83" s="1497">
        <v>4</v>
      </c>
      <c r="F83" s="1490">
        <f t="shared" si="8"/>
        <v>0.8</v>
      </c>
      <c r="G83" s="1497">
        <v>2</v>
      </c>
      <c r="H83" s="1497"/>
      <c r="I83" s="1490">
        <f t="shared" si="9"/>
        <v>0</v>
      </c>
      <c r="J83" s="1491">
        <f t="shared" si="7"/>
        <v>7</v>
      </c>
      <c r="K83" s="1515">
        <f t="shared" si="7"/>
        <v>4</v>
      </c>
      <c r="L83" s="1546">
        <f t="shared" si="10"/>
        <v>0.5714285714285714</v>
      </c>
    </row>
    <row r="84" spans="2:12" ht="15.95" customHeight="1">
      <c r="B84" s="569" t="s">
        <v>6681</v>
      </c>
      <c r="C84" s="1496" t="s">
        <v>6682</v>
      </c>
      <c r="D84" s="1497">
        <v>510</v>
      </c>
      <c r="E84" s="1497">
        <v>215</v>
      </c>
      <c r="F84" s="1490">
        <f t="shared" si="8"/>
        <v>0.42156862745098039</v>
      </c>
      <c r="G84" s="1497">
        <v>695</v>
      </c>
      <c r="H84" s="1497">
        <v>328</v>
      </c>
      <c r="I84" s="1490">
        <f t="shared" si="9"/>
        <v>0.47194244604316549</v>
      </c>
      <c r="J84" s="1491">
        <f t="shared" si="7"/>
        <v>1205</v>
      </c>
      <c r="K84" s="1515">
        <f t="shared" si="7"/>
        <v>543</v>
      </c>
      <c r="L84" s="1546">
        <f t="shared" si="10"/>
        <v>0.45062240663900416</v>
      </c>
    </row>
    <row r="85" spans="2:12" ht="15.95" customHeight="1">
      <c r="B85" s="569" t="s">
        <v>6683</v>
      </c>
      <c r="C85" s="1496" t="s">
        <v>6684</v>
      </c>
      <c r="D85" s="1497">
        <v>285</v>
      </c>
      <c r="E85" s="1497">
        <v>147</v>
      </c>
      <c r="F85" s="1490">
        <f t="shared" si="8"/>
        <v>0.51578947368421058</v>
      </c>
      <c r="G85" s="1497">
        <v>85</v>
      </c>
      <c r="H85" s="1497">
        <v>30</v>
      </c>
      <c r="I85" s="1490">
        <f t="shared" si="9"/>
        <v>0.35294117647058826</v>
      </c>
      <c r="J85" s="1491">
        <f t="shared" si="7"/>
        <v>370</v>
      </c>
      <c r="K85" s="1515">
        <f t="shared" si="7"/>
        <v>177</v>
      </c>
      <c r="L85" s="1546">
        <f t="shared" si="10"/>
        <v>0.47837837837837838</v>
      </c>
    </row>
    <row r="86" spans="2:12" ht="15.95" customHeight="1">
      <c r="B86" s="569" t="s">
        <v>6685</v>
      </c>
      <c r="C86" s="1496" t="s">
        <v>6686</v>
      </c>
      <c r="D86" s="1497">
        <v>9940</v>
      </c>
      <c r="E86" s="1497"/>
      <c r="F86" s="1490">
        <f t="shared" si="8"/>
        <v>0</v>
      </c>
      <c r="G86" s="1497"/>
      <c r="H86" s="1497"/>
      <c r="I86" s="1490" t="e">
        <f t="shared" si="9"/>
        <v>#DIV/0!</v>
      </c>
      <c r="J86" s="1491">
        <f t="shared" si="7"/>
        <v>9940</v>
      </c>
      <c r="K86" s="1515">
        <f t="shared" si="7"/>
        <v>0</v>
      </c>
      <c r="L86" s="1546">
        <f t="shared" si="10"/>
        <v>0</v>
      </c>
    </row>
    <row r="87" spans="2:12" ht="15.95" customHeight="1">
      <c r="B87" s="569" t="s">
        <v>6687</v>
      </c>
      <c r="C87" s="1496" t="s">
        <v>6688</v>
      </c>
      <c r="D87" s="1497"/>
      <c r="E87" s="1497"/>
      <c r="F87" s="1490" t="e">
        <f t="shared" si="8"/>
        <v>#DIV/0!</v>
      </c>
      <c r="G87" s="1497"/>
      <c r="H87" s="1497"/>
      <c r="I87" s="1490" t="e">
        <f t="shared" si="9"/>
        <v>#DIV/0!</v>
      </c>
      <c r="J87" s="1491">
        <f t="shared" si="7"/>
        <v>0</v>
      </c>
      <c r="K87" s="1515">
        <f t="shared" si="7"/>
        <v>0</v>
      </c>
      <c r="L87" s="1546" t="e">
        <f t="shared" si="10"/>
        <v>#DIV/0!</v>
      </c>
    </row>
    <row r="88" spans="2:12" ht="15.95" customHeight="1">
      <c r="B88" s="1498" t="s">
        <v>6689</v>
      </c>
      <c r="C88" s="1499" t="s">
        <v>6690</v>
      </c>
      <c r="D88" s="1497"/>
      <c r="E88" s="1497">
        <v>5170</v>
      </c>
      <c r="F88" s="1490" t="e">
        <f t="shared" si="8"/>
        <v>#DIV/0!</v>
      </c>
      <c r="G88" s="1497">
        <v>6580</v>
      </c>
      <c r="H88" s="1497">
        <v>3596</v>
      </c>
      <c r="I88" s="1490">
        <f t="shared" si="9"/>
        <v>0.54650455927051667</v>
      </c>
      <c r="J88" s="1491">
        <f t="shared" si="7"/>
        <v>6580</v>
      </c>
      <c r="K88" s="1515">
        <f t="shared" si="7"/>
        <v>8766</v>
      </c>
      <c r="L88" s="1546">
        <f t="shared" si="10"/>
        <v>1.3322188449848025</v>
      </c>
    </row>
    <row r="89" spans="2:12" ht="15.95" customHeight="1">
      <c r="B89" s="1498" t="s">
        <v>6456</v>
      </c>
      <c r="C89" s="1500" t="s">
        <v>6691</v>
      </c>
      <c r="D89" s="1497">
        <v>3075</v>
      </c>
      <c r="E89" s="1497">
        <v>1627</v>
      </c>
      <c r="F89" s="1490">
        <f t="shared" si="8"/>
        <v>0.52910569105691052</v>
      </c>
      <c r="G89" s="1497">
        <v>4925</v>
      </c>
      <c r="H89" s="1497">
        <v>2254</v>
      </c>
      <c r="I89" s="1490">
        <f t="shared" si="9"/>
        <v>0.45766497461928934</v>
      </c>
      <c r="J89" s="1491">
        <f t="shared" si="7"/>
        <v>8000</v>
      </c>
      <c r="K89" s="1515">
        <f t="shared" si="7"/>
        <v>3881</v>
      </c>
      <c r="L89" s="1546">
        <f t="shared" si="10"/>
        <v>0.48512499999999997</v>
      </c>
    </row>
    <row r="90" spans="2:12" ht="15.95" customHeight="1">
      <c r="B90" s="1498" t="s">
        <v>6692</v>
      </c>
      <c r="C90" s="1500" t="s">
        <v>6693</v>
      </c>
      <c r="D90" s="1497">
        <v>476</v>
      </c>
      <c r="E90" s="1497">
        <v>261</v>
      </c>
      <c r="F90" s="1490">
        <f t="shared" si="8"/>
        <v>0.54831932773109249</v>
      </c>
      <c r="G90" s="1497">
        <v>374</v>
      </c>
      <c r="H90" s="1497">
        <v>240</v>
      </c>
      <c r="I90" s="1490">
        <f t="shared" si="9"/>
        <v>0.64171122994652408</v>
      </c>
      <c r="J90" s="1491">
        <f t="shared" si="7"/>
        <v>850</v>
      </c>
      <c r="K90" s="1515">
        <f t="shared" si="7"/>
        <v>501</v>
      </c>
      <c r="L90" s="1546">
        <f t="shared" si="10"/>
        <v>0.5894117647058823</v>
      </c>
    </row>
    <row r="91" spans="2:12" ht="15.95" customHeight="1">
      <c r="B91" s="569" t="s">
        <v>6694</v>
      </c>
      <c r="C91" s="1496" t="s">
        <v>6695</v>
      </c>
      <c r="D91" s="1497">
        <v>535</v>
      </c>
      <c r="E91" s="1497">
        <v>226</v>
      </c>
      <c r="F91" s="1490">
        <f t="shared" si="8"/>
        <v>0.42242990654205609</v>
      </c>
      <c r="G91" s="1497">
        <v>860</v>
      </c>
      <c r="H91" s="1497">
        <v>486</v>
      </c>
      <c r="I91" s="1490">
        <f t="shared" si="9"/>
        <v>0.56511627906976747</v>
      </c>
      <c r="J91" s="1491">
        <f t="shared" ref="J91:K121" si="11">+D91+G91</f>
        <v>1395</v>
      </c>
      <c r="K91" s="1515">
        <f t="shared" si="11"/>
        <v>712</v>
      </c>
      <c r="L91" s="1546">
        <f t="shared" si="10"/>
        <v>0.51039426523297493</v>
      </c>
    </row>
    <row r="92" spans="2:12" ht="15.95" customHeight="1">
      <c r="B92" s="569" t="s">
        <v>6696</v>
      </c>
      <c r="C92" s="1496" t="s">
        <v>6697</v>
      </c>
      <c r="D92" s="1497"/>
      <c r="E92" s="1497"/>
      <c r="F92" s="1490" t="e">
        <f t="shared" si="8"/>
        <v>#DIV/0!</v>
      </c>
      <c r="G92" s="1497"/>
      <c r="H92" s="1497"/>
      <c r="I92" s="1490" t="e">
        <f t="shared" si="9"/>
        <v>#DIV/0!</v>
      </c>
      <c r="J92" s="1491">
        <f t="shared" si="11"/>
        <v>0</v>
      </c>
      <c r="K92" s="1515">
        <f t="shared" si="11"/>
        <v>0</v>
      </c>
      <c r="L92" s="1546" t="e">
        <f t="shared" si="10"/>
        <v>#DIV/0!</v>
      </c>
    </row>
    <row r="93" spans="2:12" ht="15.95" customHeight="1">
      <c r="B93" s="569" t="s">
        <v>5576</v>
      </c>
      <c r="C93" s="1496" t="s">
        <v>5577</v>
      </c>
      <c r="D93" s="1497">
        <v>1651</v>
      </c>
      <c r="E93" s="1497">
        <v>8417</v>
      </c>
      <c r="F93" s="1490">
        <f t="shared" si="8"/>
        <v>5.0981223500908541</v>
      </c>
      <c r="G93" s="1497">
        <v>10490</v>
      </c>
      <c r="H93" s="1497">
        <v>4897</v>
      </c>
      <c r="I93" s="1490">
        <f t="shared" si="9"/>
        <v>0.46682554814108673</v>
      </c>
      <c r="J93" s="1491">
        <f t="shared" si="11"/>
        <v>12141</v>
      </c>
      <c r="K93" s="1515">
        <f t="shared" si="11"/>
        <v>13314</v>
      </c>
      <c r="L93" s="1546">
        <f t="shared" si="10"/>
        <v>1.0966147763775635</v>
      </c>
    </row>
    <row r="94" spans="2:12">
      <c r="B94" s="569" t="s">
        <v>6698</v>
      </c>
      <c r="C94" s="1496" t="s">
        <v>6699</v>
      </c>
      <c r="D94" s="1497">
        <v>95</v>
      </c>
      <c r="E94" s="1497">
        <v>16</v>
      </c>
      <c r="F94" s="1490">
        <f t="shared" si="8"/>
        <v>0.16842105263157894</v>
      </c>
      <c r="G94" s="1497">
        <v>10</v>
      </c>
      <c r="H94" s="1497">
        <v>1</v>
      </c>
      <c r="I94" s="1490">
        <f t="shared" si="9"/>
        <v>0.1</v>
      </c>
      <c r="J94" s="1491">
        <f t="shared" si="11"/>
        <v>105</v>
      </c>
      <c r="K94" s="1515">
        <f t="shared" si="11"/>
        <v>17</v>
      </c>
      <c r="L94" s="1546">
        <f t="shared" si="10"/>
        <v>0.16190476190476191</v>
      </c>
    </row>
    <row r="95" spans="2:12">
      <c r="B95" s="569" t="s">
        <v>6700</v>
      </c>
      <c r="C95" s="1496" t="s">
        <v>6701</v>
      </c>
      <c r="D95" s="1497"/>
      <c r="E95" s="1497"/>
      <c r="F95" s="1490" t="e">
        <f t="shared" si="8"/>
        <v>#DIV/0!</v>
      </c>
      <c r="G95" s="1497"/>
      <c r="H95" s="1497"/>
      <c r="I95" s="1490" t="e">
        <f t="shared" si="9"/>
        <v>#DIV/0!</v>
      </c>
      <c r="J95" s="1491">
        <f t="shared" si="11"/>
        <v>0</v>
      </c>
      <c r="K95" s="1515">
        <f t="shared" si="11"/>
        <v>0</v>
      </c>
      <c r="L95" s="1546" t="e">
        <f t="shared" si="10"/>
        <v>#DIV/0!</v>
      </c>
    </row>
    <row r="96" spans="2:12">
      <c r="B96" s="569" t="s">
        <v>6702</v>
      </c>
      <c r="C96" s="1496" t="s">
        <v>6703</v>
      </c>
      <c r="D96" s="1497">
        <v>30</v>
      </c>
      <c r="E96" s="1497">
        <v>12</v>
      </c>
      <c r="F96" s="1490">
        <f t="shared" si="8"/>
        <v>0.4</v>
      </c>
      <c r="G96" s="1497">
        <v>3</v>
      </c>
      <c r="H96" s="1497">
        <v>1</v>
      </c>
      <c r="I96" s="1490">
        <f t="shared" si="9"/>
        <v>0.33333333333333331</v>
      </c>
      <c r="J96" s="1491">
        <f t="shared" si="11"/>
        <v>33</v>
      </c>
      <c r="K96" s="1515">
        <f t="shared" si="11"/>
        <v>13</v>
      </c>
      <c r="L96" s="1546">
        <f t="shared" si="10"/>
        <v>0.39393939393939392</v>
      </c>
    </row>
    <row r="97" spans="2:12">
      <c r="B97" s="569" t="s">
        <v>6704</v>
      </c>
      <c r="C97" s="1496" t="s">
        <v>6705</v>
      </c>
      <c r="D97" s="1497"/>
      <c r="E97" s="1497"/>
      <c r="F97" s="1490" t="e">
        <f t="shared" si="8"/>
        <v>#DIV/0!</v>
      </c>
      <c r="G97" s="1497"/>
      <c r="H97" s="1497"/>
      <c r="I97" s="1490" t="e">
        <f t="shared" si="9"/>
        <v>#DIV/0!</v>
      </c>
      <c r="J97" s="1491">
        <f t="shared" si="11"/>
        <v>0</v>
      </c>
      <c r="K97" s="1515">
        <f t="shared" si="11"/>
        <v>0</v>
      </c>
      <c r="L97" s="1546" t="e">
        <f t="shared" si="10"/>
        <v>#DIV/0!</v>
      </c>
    </row>
    <row r="98" spans="2:12">
      <c r="B98" s="569" t="s">
        <v>5578</v>
      </c>
      <c r="C98" s="1496" t="s">
        <v>5579</v>
      </c>
      <c r="D98" s="1497">
        <v>16621</v>
      </c>
      <c r="E98" s="1497">
        <v>8434</v>
      </c>
      <c r="F98" s="1490">
        <f t="shared" si="8"/>
        <v>0.50743035918416457</v>
      </c>
      <c r="G98" s="1497">
        <v>10379</v>
      </c>
      <c r="H98" s="1497">
        <v>4907</v>
      </c>
      <c r="I98" s="1490">
        <f t="shared" si="9"/>
        <v>0.47278157818672317</v>
      </c>
      <c r="J98" s="1491">
        <f t="shared" si="11"/>
        <v>27000</v>
      </c>
      <c r="K98" s="1515">
        <f t="shared" si="11"/>
        <v>13341</v>
      </c>
      <c r="L98" s="1546">
        <f t="shared" si="10"/>
        <v>0.49411111111111111</v>
      </c>
    </row>
    <row r="99" spans="2:12">
      <c r="B99" s="569" t="s">
        <v>6706</v>
      </c>
      <c r="C99" s="1496" t="s">
        <v>6707</v>
      </c>
      <c r="D99" s="1497">
        <v>400</v>
      </c>
      <c r="E99" s="1497">
        <v>160</v>
      </c>
      <c r="F99" s="1490">
        <f t="shared" si="8"/>
        <v>0.4</v>
      </c>
      <c r="G99" s="1497">
        <v>465</v>
      </c>
      <c r="H99" s="1497">
        <v>223</v>
      </c>
      <c r="I99" s="1490">
        <f t="shared" si="9"/>
        <v>0.47956989247311826</v>
      </c>
      <c r="J99" s="1491">
        <f t="shared" si="11"/>
        <v>865</v>
      </c>
      <c r="K99" s="1515">
        <f t="shared" si="11"/>
        <v>383</v>
      </c>
      <c r="L99" s="1546">
        <f t="shared" si="10"/>
        <v>0.44277456647398844</v>
      </c>
    </row>
    <row r="100" spans="2:12">
      <c r="B100" s="569" t="s">
        <v>6708</v>
      </c>
      <c r="C100" s="1496" t="s">
        <v>6709</v>
      </c>
      <c r="D100" s="1497">
        <v>90</v>
      </c>
      <c r="E100" s="1497">
        <v>47</v>
      </c>
      <c r="F100" s="1490">
        <f t="shared" si="8"/>
        <v>0.52222222222222225</v>
      </c>
      <c r="G100" s="1497">
        <v>10</v>
      </c>
      <c r="H100" s="1497">
        <v>2</v>
      </c>
      <c r="I100" s="1490">
        <f t="shared" si="9"/>
        <v>0.2</v>
      </c>
      <c r="J100" s="1491">
        <f t="shared" si="11"/>
        <v>100</v>
      </c>
      <c r="K100" s="1515">
        <f t="shared" si="11"/>
        <v>49</v>
      </c>
      <c r="L100" s="1546">
        <f t="shared" si="10"/>
        <v>0.49</v>
      </c>
    </row>
    <row r="101" spans="2:12">
      <c r="B101" s="569" t="s">
        <v>6710</v>
      </c>
      <c r="C101" s="1496" t="s">
        <v>6711</v>
      </c>
      <c r="D101" s="1497">
        <v>15</v>
      </c>
      <c r="E101" s="1497">
        <v>9</v>
      </c>
      <c r="F101" s="1490">
        <f t="shared" si="8"/>
        <v>0.6</v>
      </c>
      <c r="G101" s="1497">
        <v>30</v>
      </c>
      <c r="H101" s="1497">
        <v>12</v>
      </c>
      <c r="I101" s="1490">
        <f t="shared" si="9"/>
        <v>0.4</v>
      </c>
      <c r="J101" s="1491">
        <f t="shared" si="11"/>
        <v>45</v>
      </c>
      <c r="K101" s="1515">
        <f t="shared" si="11"/>
        <v>21</v>
      </c>
      <c r="L101" s="1546">
        <f t="shared" si="10"/>
        <v>0.46666666666666667</v>
      </c>
    </row>
    <row r="102" spans="2:12">
      <c r="B102" s="569" t="s">
        <v>6712</v>
      </c>
      <c r="C102" s="1496" t="s">
        <v>6713</v>
      </c>
      <c r="D102" s="1497">
        <v>205</v>
      </c>
      <c r="E102" s="1497">
        <v>111</v>
      </c>
      <c r="F102" s="1490">
        <f t="shared" si="8"/>
        <v>0.54146341463414638</v>
      </c>
      <c r="G102" s="1497">
        <v>15</v>
      </c>
      <c r="H102" s="1497">
        <v>11</v>
      </c>
      <c r="I102" s="1490">
        <f t="shared" si="9"/>
        <v>0.73333333333333328</v>
      </c>
      <c r="J102" s="1491">
        <f t="shared" si="11"/>
        <v>220</v>
      </c>
      <c r="K102" s="1515">
        <f t="shared" si="11"/>
        <v>122</v>
      </c>
      <c r="L102" s="1546">
        <f t="shared" si="10"/>
        <v>0.55454545454545456</v>
      </c>
    </row>
    <row r="103" spans="2:12">
      <c r="B103" s="569" t="s">
        <v>6714</v>
      </c>
      <c r="C103" s="1496" t="s">
        <v>6715</v>
      </c>
      <c r="D103" s="1497">
        <v>25</v>
      </c>
      <c r="E103" s="1497">
        <v>13</v>
      </c>
      <c r="F103" s="1490">
        <f t="shared" si="8"/>
        <v>0.52</v>
      </c>
      <c r="G103" s="1497">
        <v>10</v>
      </c>
      <c r="H103" s="1497">
        <v>1</v>
      </c>
      <c r="I103" s="1490">
        <f t="shared" si="9"/>
        <v>0.1</v>
      </c>
      <c r="J103" s="1491">
        <f t="shared" si="11"/>
        <v>35</v>
      </c>
      <c r="K103" s="1515">
        <f t="shared" si="11"/>
        <v>14</v>
      </c>
      <c r="L103" s="1546">
        <f t="shared" si="10"/>
        <v>0.4</v>
      </c>
    </row>
    <row r="104" spans="2:12">
      <c r="B104" s="569" t="s">
        <v>6716</v>
      </c>
      <c r="C104" s="1496" t="s">
        <v>6717</v>
      </c>
      <c r="D104" s="1497">
        <v>1055</v>
      </c>
      <c r="E104" s="1497">
        <v>532</v>
      </c>
      <c r="F104" s="1490">
        <f t="shared" si="8"/>
        <v>0.50426540284360188</v>
      </c>
      <c r="G104" s="1497">
        <v>520</v>
      </c>
      <c r="H104" s="1497">
        <v>218</v>
      </c>
      <c r="I104" s="1490">
        <f t="shared" si="9"/>
        <v>0.41923076923076924</v>
      </c>
      <c r="J104" s="1491">
        <f t="shared" si="11"/>
        <v>1575</v>
      </c>
      <c r="K104" s="1515">
        <f t="shared" si="11"/>
        <v>750</v>
      </c>
      <c r="L104" s="1546">
        <f t="shared" si="10"/>
        <v>0.47619047619047616</v>
      </c>
    </row>
    <row r="105" spans="2:12">
      <c r="B105" s="569" t="s">
        <v>6718</v>
      </c>
      <c r="C105" s="1496" t="s">
        <v>6719</v>
      </c>
      <c r="D105" s="1497">
        <v>1080</v>
      </c>
      <c r="E105" s="1497">
        <v>536</v>
      </c>
      <c r="F105" s="1490">
        <f t="shared" si="8"/>
        <v>0.49629629629629629</v>
      </c>
      <c r="G105" s="1497">
        <v>530</v>
      </c>
      <c r="H105" s="1497">
        <v>221</v>
      </c>
      <c r="I105" s="1490">
        <f t="shared" si="9"/>
        <v>0.41698113207547172</v>
      </c>
      <c r="J105" s="1491">
        <f t="shared" si="11"/>
        <v>1610</v>
      </c>
      <c r="K105" s="1515">
        <f t="shared" si="11"/>
        <v>757</v>
      </c>
      <c r="L105" s="1546">
        <f t="shared" si="10"/>
        <v>0.47018633540372673</v>
      </c>
    </row>
    <row r="106" spans="2:12">
      <c r="B106" s="569" t="s">
        <v>3866</v>
      </c>
      <c r="C106" s="1496" t="s">
        <v>6720</v>
      </c>
      <c r="D106" s="1497">
        <v>1300</v>
      </c>
      <c r="E106" s="1497">
        <v>658</v>
      </c>
      <c r="F106" s="1490">
        <f t="shared" si="8"/>
        <v>0.50615384615384618</v>
      </c>
      <c r="G106" s="1497">
        <v>565</v>
      </c>
      <c r="H106" s="1497">
        <v>236</v>
      </c>
      <c r="I106" s="1490">
        <f t="shared" si="9"/>
        <v>0.41769911504424778</v>
      </c>
      <c r="J106" s="1491">
        <f t="shared" si="11"/>
        <v>1865</v>
      </c>
      <c r="K106" s="1515">
        <f t="shared" si="11"/>
        <v>894</v>
      </c>
      <c r="L106" s="1546">
        <f t="shared" si="10"/>
        <v>0.47935656836461127</v>
      </c>
    </row>
    <row r="107" spans="2:12">
      <c r="B107" s="569" t="s">
        <v>6721</v>
      </c>
      <c r="C107" s="1496" t="s">
        <v>6722</v>
      </c>
      <c r="D107" s="1497">
        <v>540</v>
      </c>
      <c r="E107" s="1497">
        <v>27</v>
      </c>
      <c r="F107" s="1490">
        <f t="shared" si="8"/>
        <v>0.05</v>
      </c>
      <c r="G107" s="1497">
        <v>40</v>
      </c>
      <c r="H107" s="1497">
        <v>16</v>
      </c>
      <c r="I107" s="1490">
        <f t="shared" si="9"/>
        <v>0.4</v>
      </c>
      <c r="J107" s="1491">
        <f t="shared" si="11"/>
        <v>580</v>
      </c>
      <c r="K107" s="1515">
        <f t="shared" si="11"/>
        <v>43</v>
      </c>
      <c r="L107" s="1546">
        <f t="shared" si="10"/>
        <v>7.4137931034482754E-2</v>
      </c>
    </row>
    <row r="108" spans="2:12">
      <c r="B108" s="569" t="s">
        <v>6723</v>
      </c>
      <c r="C108" s="1496" t="s">
        <v>6724</v>
      </c>
      <c r="D108" s="1497">
        <v>945</v>
      </c>
      <c r="E108" s="1497">
        <v>510</v>
      </c>
      <c r="F108" s="1490">
        <f t="shared" si="8"/>
        <v>0.53968253968253965</v>
      </c>
      <c r="G108" s="1497">
        <v>495</v>
      </c>
      <c r="H108" s="1497">
        <v>189</v>
      </c>
      <c r="I108" s="1490">
        <f t="shared" si="9"/>
        <v>0.38181818181818183</v>
      </c>
      <c r="J108" s="1491">
        <f t="shared" si="11"/>
        <v>1440</v>
      </c>
      <c r="K108" s="1515">
        <f t="shared" si="11"/>
        <v>699</v>
      </c>
      <c r="L108" s="1546">
        <f t="shared" si="10"/>
        <v>0.48541666666666666</v>
      </c>
    </row>
    <row r="109" spans="2:12">
      <c r="B109" s="569" t="s">
        <v>6725</v>
      </c>
      <c r="C109" s="1496" t="s">
        <v>6726</v>
      </c>
      <c r="D109" s="1497"/>
      <c r="E109" s="1497"/>
      <c r="F109" s="1490" t="e">
        <f t="shared" si="8"/>
        <v>#DIV/0!</v>
      </c>
      <c r="G109" s="1497"/>
      <c r="H109" s="1497"/>
      <c r="I109" s="1490" t="e">
        <f t="shared" si="9"/>
        <v>#DIV/0!</v>
      </c>
      <c r="J109" s="1491">
        <f t="shared" si="11"/>
        <v>0</v>
      </c>
      <c r="K109" s="1515">
        <f t="shared" si="11"/>
        <v>0</v>
      </c>
      <c r="L109" s="1546" t="e">
        <f t="shared" si="10"/>
        <v>#DIV/0!</v>
      </c>
    </row>
    <row r="110" spans="2:12">
      <c r="B110" s="569" t="s">
        <v>6727</v>
      </c>
      <c r="C110" s="1496" t="s">
        <v>6728</v>
      </c>
      <c r="D110" s="1497">
        <v>10</v>
      </c>
      <c r="E110" s="1497">
        <v>3</v>
      </c>
      <c r="F110" s="1490">
        <f t="shared" si="8"/>
        <v>0.3</v>
      </c>
      <c r="G110" s="1497">
        <v>1</v>
      </c>
      <c r="H110" s="1497">
        <v>1</v>
      </c>
      <c r="I110" s="1490">
        <f t="shared" si="9"/>
        <v>1</v>
      </c>
      <c r="J110" s="1491">
        <f t="shared" si="11"/>
        <v>11</v>
      </c>
      <c r="K110" s="1515">
        <f t="shared" si="11"/>
        <v>4</v>
      </c>
      <c r="L110" s="1546">
        <f t="shared" si="10"/>
        <v>0.36363636363636365</v>
      </c>
    </row>
    <row r="111" spans="2:12">
      <c r="B111" s="1498" t="s">
        <v>6729</v>
      </c>
      <c r="C111" s="1500" t="s">
        <v>6730</v>
      </c>
      <c r="D111" s="1497">
        <v>1122</v>
      </c>
      <c r="E111" s="1497">
        <v>709</v>
      </c>
      <c r="F111" s="1490">
        <f t="shared" si="8"/>
        <v>0.63190730837789666</v>
      </c>
      <c r="G111" s="1497">
        <v>1378</v>
      </c>
      <c r="H111" s="1497">
        <v>781</v>
      </c>
      <c r="I111" s="1490">
        <f t="shared" si="9"/>
        <v>0.56676342525399126</v>
      </c>
      <c r="J111" s="1491">
        <f t="shared" si="11"/>
        <v>2500</v>
      </c>
      <c r="K111" s="1515">
        <f t="shared" si="11"/>
        <v>1490</v>
      </c>
      <c r="L111" s="1546">
        <f t="shared" si="10"/>
        <v>0.59599999999999997</v>
      </c>
    </row>
    <row r="112" spans="2:12">
      <c r="B112" s="1498" t="s">
        <v>6731</v>
      </c>
      <c r="C112" s="1500" t="s">
        <v>6732</v>
      </c>
      <c r="D112" s="1497"/>
      <c r="E112" s="1497"/>
      <c r="F112" s="1490" t="e">
        <f t="shared" si="8"/>
        <v>#DIV/0!</v>
      </c>
      <c r="G112" s="1497">
        <v>30</v>
      </c>
      <c r="H112" s="1497">
        <v>13</v>
      </c>
      <c r="I112" s="1490">
        <f t="shared" si="9"/>
        <v>0.43333333333333335</v>
      </c>
      <c r="J112" s="1491">
        <f t="shared" si="11"/>
        <v>30</v>
      </c>
      <c r="K112" s="1515">
        <f t="shared" si="11"/>
        <v>13</v>
      </c>
      <c r="L112" s="1546">
        <f t="shared" si="10"/>
        <v>0.43333333333333335</v>
      </c>
    </row>
    <row r="113" spans="2:12" ht="25.5">
      <c r="B113" s="1498" t="s">
        <v>6462</v>
      </c>
      <c r="C113" s="1500" t="s">
        <v>6733</v>
      </c>
      <c r="D113" s="1497">
        <v>4610</v>
      </c>
      <c r="E113" s="1497">
        <v>2592</v>
      </c>
      <c r="F113" s="1490">
        <f t="shared" si="8"/>
        <v>0.56225596529284161</v>
      </c>
      <c r="G113" s="1497">
        <v>11385</v>
      </c>
      <c r="H113" s="1497">
        <v>6255</v>
      </c>
      <c r="I113" s="1490">
        <f t="shared" si="9"/>
        <v>0.54940711462450598</v>
      </c>
      <c r="J113" s="1491">
        <f t="shared" si="11"/>
        <v>15995</v>
      </c>
      <c r="K113" s="1515">
        <f t="shared" si="11"/>
        <v>8847</v>
      </c>
      <c r="L113" s="1546">
        <f t="shared" si="10"/>
        <v>0.55311034698343231</v>
      </c>
    </row>
    <row r="114" spans="2:12">
      <c r="B114" s="1498" t="s">
        <v>6734</v>
      </c>
      <c r="C114" s="1500" t="s">
        <v>6735</v>
      </c>
      <c r="D114" s="1497">
        <v>4610</v>
      </c>
      <c r="E114" s="1497">
        <v>2592</v>
      </c>
      <c r="F114" s="1490">
        <f t="shared" si="8"/>
        <v>0.56225596529284161</v>
      </c>
      <c r="G114" s="1497">
        <v>11385</v>
      </c>
      <c r="H114" s="1497">
        <v>6256</v>
      </c>
      <c r="I114" s="1490">
        <f t="shared" si="9"/>
        <v>0.54949494949494948</v>
      </c>
      <c r="J114" s="1491">
        <f t="shared" si="11"/>
        <v>15995</v>
      </c>
      <c r="K114" s="1515">
        <f t="shared" si="11"/>
        <v>8848</v>
      </c>
      <c r="L114" s="1546">
        <f t="shared" si="10"/>
        <v>0.55317286652078779</v>
      </c>
    </row>
    <row r="115" spans="2:12">
      <c r="B115" s="1498" t="s">
        <v>6466</v>
      </c>
      <c r="C115" s="1500" t="s">
        <v>6736</v>
      </c>
      <c r="D115" s="1497">
        <v>25</v>
      </c>
      <c r="E115" s="1497">
        <v>6</v>
      </c>
      <c r="F115" s="1490">
        <f t="shared" si="8"/>
        <v>0.24</v>
      </c>
      <c r="G115" s="1497">
        <v>900</v>
      </c>
      <c r="H115" s="1497">
        <v>274</v>
      </c>
      <c r="I115" s="1490">
        <f t="shared" si="9"/>
        <v>0.30444444444444446</v>
      </c>
      <c r="J115" s="1491">
        <f t="shared" si="11"/>
        <v>925</v>
      </c>
      <c r="K115" s="1515">
        <f t="shared" si="11"/>
        <v>280</v>
      </c>
      <c r="L115" s="1546">
        <f t="shared" si="10"/>
        <v>0.30270270270270272</v>
      </c>
    </row>
    <row r="116" spans="2:12">
      <c r="B116" s="1498" t="s">
        <v>6737</v>
      </c>
      <c r="C116" s="1500" t="s">
        <v>6738</v>
      </c>
      <c r="D116" s="1497"/>
      <c r="E116" s="1497"/>
      <c r="F116" s="1490" t="e">
        <f t="shared" si="8"/>
        <v>#DIV/0!</v>
      </c>
      <c r="G116" s="1497"/>
      <c r="H116" s="1497"/>
      <c r="I116" s="1490" t="e">
        <f t="shared" si="9"/>
        <v>#DIV/0!</v>
      </c>
      <c r="J116" s="1491">
        <f t="shared" si="11"/>
        <v>0</v>
      </c>
      <c r="K116" s="1515">
        <f t="shared" si="11"/>
        <v>0</v>
      </c>
      <c r="L116" s="1546" t="e">
        <f t="shared" si="10"/>
        <v>#DIV/0!</v>
      </c>
    </row>
    <row r="117" spans="2:12">
      <c r="B117" s="1498" t="s">
        <v>6739</v>
      </c>
      <c r="C117" s="1496" t="s">
        <v>6740</v>
      </c>
      <c r="D117" s="1497"/>
      <c r="E117" s="1497"/>
      <c r="F117" s="1490" t="e">
        <f t="shared" si="8"/>
        <v>#DIV/0!</v>
      </c>
      <c r="G117" s="1497">
        <v>30</v>
      </c>
      <c r="H117" s="1497">
        <v>13</v>
      </c>
      <c r="I117" s="1490">
        <f t="shared" si="9"/>
        <v>0.43333333333333335</v>
      </c>
      <c r="J117" s="1491">
        <f t="shared" si="11"/>
        <v>30</v>
      </c>
      <c r="K117" s="1515">
        <f t="shared" si="11"/>
        <v>13</v>
      </c>
      <c r="L117" s="1546">
        <f t="shared" si="10"/>
        <v>0.43333333333333335</v>
      </c>
    </row>
    <row r="118" spans="2:12">
      <c r="B118" s="1498" t="s">
        <v>6741</v>
      </c>
      <c r="C118" s="1496" t="s">
        <v>6742</v>
      </c>
      <c r="D118" s="1497"/>
      <c r="E118" s="1497"/>
      <c r="F118" s="1490" t="e">
        <f t="shared" si="8"/>
        <v>#DIV/0!</v>
      </c>
      <c r="G118" s="1497"/>
      <c r="H118" s="1497"/>
      <c r="I118" s="1490" t="e">
        <f t="shared" si="9"/>
        <v>#DIV/0!</v>
      </c>
      <c r="J118" s="1491">
        <f t="shared" si="11"/>
        <v>0</v>
      </c>
      <c r="K118" s="1515">
        <f t="shared" si="11"/>
        <v>0</v>
      </c>
      <c r="L118" s="1546" t="e">
        <f t="shared" si="10"/>
        <v>#DIV/0!</v>
      </c>
    </row>
    <row r="119" spans="2:12">
      <c r="B119" s="1498" t="s">
        <v>6743</v>
      </c>
      <c r="C119" s="1496" t="s">
        <v>6744</v>
      </c>
      <c r="D119" s="1497">
        <v>373</v>
      </c>
      <c r="E119" s="1497">
        <v>179</v>
      </c>
      <c r="F119" s="1490">
        <f t="shared" si="8"/>
        <v>0.47989276139410186</v>
      </c>
      <c r="G119" s="1497">
        <v>27</v>
      </c>
      <c r="H119" s="1497">
        <v>12</v>
      </c>
      <c r="I119" s="1490">
        <f t="shared" si="9"/>
        <v>0.44444444444444442</v>
      </c>
      <c r="J119" s="1491">
        <f t="shared" si="11"/>
        <v>400</v>
      </c>
      <c r="K119" s="1515">
        <f t="shared" si="11"/>
        <v>191</v>
      </c>
      <c r="L119" s="1546">
        <f t="shared" si="10"/>
        <v>0.47749999999999998</v>
      </c>
    </row>
    <row r="120" spans="2:12">
      <c r="B120" s="1498" t="s">
        <v>6745</v>
      </c>
      <c r="C120" s="1496" t="s">
        <v>6746</v>
      </c>
      <c r="D120" s="1497">
        <v>80</v>
      </c>
      <c r="E120" s="1497">
        <v>54</v>
      </c>
      <c r="F120" s="1490">
        <f t="shared" si="8"/>
        <v>0.67500000000000004</v>
      </c>
      <c r="G120" s="1497">
        <v>220</v>
      </c>
      <c r="H120" s="1497">
        <v>104</v>
      </c>
      <c r="I120" s="1490">
        <f t="shared" si="9"/>
        <v>0.47272727272727272</v>
      </c>
      <c r="J120" s="1491">
        <f t="shared" si="11"/>
        <v>300</v>
      </c>
      <c r="K120" s="1515">
        <f t="shared" si="11"/>
        <v>158</v>
      </c>
      <c r="L120" s="1546">
        <f t="shared" si="10"/>
        <v>0.52666666666666662</v>
      </c>
    </row>
    <row r="121" spans="2:12" ht="25.5">
      <c r="B121" s="1498" t="s">
        <v>6747</v>
      </c>
      <c r="C121" s="1496" t="s">
        <v>6748</v>
      </c>
      <c r="D121" s="1497">
        <v>1414</v>
      </c>
      <c r="E121" s="1497">
        <v>609</v>
      </c>
      <c r="F121" s="1490">
        <f t="shared" si="8"/>
        <v>0.43069306930693069</v>
      </c>
      <c r="G121" s="1497">
        <v>86</v>
      </c>
      <c r="H121" s="1497">
        <v>38</v>
      </c>
      <c r="I121" s="1490">
        <f t="shared" si="9"/>
        <v>0.44186046511627908</v>
      </c>
      <c r="J121" s="1491">
        <f t="shared" si="11"/>
        <v>1500</v>
      </c>
      <c r="K121" s="1515">
        <f t="shared" si="11"/>
        <v>647</v>
      </c>
      <c r="L121" s="1546">
        <f t="shared" si="10"/>
        <v>0.43133333333333335</v>
      </c>
    </row>
    <row r="122" spans="2:12">
      <c r="B122" s="1487"/>
      <c r="C122" s="1488" t="s">
        <v>266</v>
      </c>
      <c r="D122" s="1501"/>
      <c r="E122" s="1501"/>
      <c r="F122" s="1502"/>
      <c r="G122" s="1501"/>
      <c r="H122" s="1501"/>
      <c r="I122" s="1490" t="e">
        <f t="shared" si="9"/>
        <v>#DIV/0!</v>
      </c>
      <c r="J122" s="1491">
        <v>0</v>
      </c>
      <c r="K122" s="1515">
        <f t="shared" ref="K122:K124" si="12">+E122+H122</f>
        <v>0</v>
      </c>
      <c r="L122" s="1546" t="e">
        <f t="shared" si="10"/>
        <v>#DIV/0!</v>
      </c>
    </row>
    <row r="123" spans="2:12">
      <c r="B123" s="1487"/>
      <c r="C123" s="1488" t="s">
        <v>267</v>
      </c>
      <c r="D123" s="1503"/>
      <c r="E123" s="1503"/>
      <c r="F123" s="1504"/>
      <c r="G123" s="1505"/>
      <c r="H123" s="1505"/>
      <c r="I123" s="1490" t="e">
        <f t="shared" si="9"/>
        <v>#DIV/0!</v>
      </c>
      <c r="J123" s="1491">
        <v>0</v>
      </c>
      <c r="K123" s="1515">
        <f t="shared" si="12"/>
        <v>0</v>
      </c>
      <c r="L123" s="1546" t="e">
        <f t="shared" si="10"/>
        <v>#DIV/0!</v>
      </c>
    </row>
    <row r="124" spans="2:12">
      <c r="B124" s="1506" t="s">
        <v>6749</v>
      </c>
      <c r="C124" s="1488" t="s">
        <v>6750</v>
      </c>
      <c r="D124" s="1503"/>
      <c r="E124" s="1503"/>
      <c r="F124" s="1504"/>
      <c r="G124" s="1505"/>
      <c r="H124" s="1505"/>
      <c r="I124" s="1490" t="e">
        <f t="shared" si="9"/>
        <v>#DIV/0!</v>
      </c>
      <c r="J124" s="1491">
        <v>0</v>
      </c>
      <c r="K124" s="1515">
        <f t="shared" si="12"/>
        <v>0</v>
      </c>
      <c r="L124" s="1546" t="e">
        <f t="shared" si="10"/>
        <v>#DIV/0!</v>
      </c>
    </row>
    <row r="125" spans="2:12">
      <c r="B125" s="2279"/>
      <c r="C125" s="2279"/>
      <c r="D125" s="2279"/>
      <c r="E125" s="2279"/>
      <c r="F125" s="2279"/>
      <c r="G125" s="2279"/>
      <c r="H125" s="2279"/>
      <c r="I125" s="2279"/>
      <c r="J125" s="2279"/>
      <c r="K125" s="2279"/>
      <c r="L125" s="2279"/>
    </row>
    <row r="126" spans="2:12">
      <c r="B126" s="1487"/>
      <c r="C126" s="1488" t="s">
        <v>266</v>
      </c>
      <c r="D126" s="1494">
        <v>1400</v>
      </c>
      <c r="E126" s="1494">
        <v>153</v>
      </c>
      <c r="F126" s="1507">
        <f>+E126/D126</f>
        <v>0.10928571428571429</v>
      </c>
      <c r="G126" s="1494">
        <v>3000</v>
      </c>
      <c r="H126" s="1494">
        <v>1916</v>
      </c>
      <c r="I126" s="1507">
        <f>+H126/G126</f>
        <v>0.63866666666666672</v>
      </c>
      <c r="J126" s="1494">
        <f>+D126+G126</f>
        <v>4400</v>
      </c>
      <c r="K126" s="860">
        <f>+E126+H126</f>
        <v>2069</v>
      </c>
      <c r="L126" s="1028">
        <f>+K126/J126</f>
        <v>0.47022727272727272</v>
      </c>
    </row>
    <row r="127" spans="2:12">
      <c r="B127" s="1487"/>
      <c r="C127" s="1488" t="s">
        <v>267</v>
      </c>
      <c r="D127" s="1494">
        <f t="shared" ref="D127:J127" si="13">+D128-D131-D132-D134</f>
        <v>1994</v>
      </c>
      <c r="E127" s="1494">
        <f t="shared" si="13"/>
        <v>995</v>
      </c>
      <c r="F127" s="1507">
        <f t="shared" ref="F127:F128" si="14">+E127/D127</f>
        <v>0.49899699097291877</v>
      </c>
      <c r="G127" s="1494">
        <f t="shared" si="13"/>
        <v>3721</v>
      </c>
      <c r="H127" s="1494">
        <f t="shared" si="13"/>
        <v>1598</v>
      </c>
      <c r="I127" s="1507">
        <f t="shared" ref="I127:I128" si="15">+H127/G127</f>
        <v>0.42945444772910507</v>
      </c>
      <c r="J127" s="1494">
        <f t="shared" si="13"/>
        <v>5177</v>
      </c>
      <c r="K127" s="860">
        <f t="shared" ref="K127:K128" si="16">+E127+H127</f>
        <v>2593</v>
      </c>
      <c r="L127" s="1028">
        <f t="shared" ref="L127:L128" si="17">+K127/J127</f>
        <v>0.50086922928336874</v>
      </c>
    </row>
    <row r="128" spans="2:12">
      <c r="B128" s="1508" t="s">
        <v>6749</v>
      </c>
      <c r="C128" s="1509" t="s">
        <v>6751</v>
      </c>
      <c r="D128" s="1510">
        <f t="shared" ref="D128:J128" si="18">+D130+D135+D147+D151+D155+D160+D166+D181+D194+D206+D221+D225+D232+D242</f>
        <v>15234</v>
      </c>
      <c r="E128" s="1510">
        <f t="shared" si="18"/>
        <v>7054</v>
      </c>
      <c r="F128" s="1507">
        <f t="shared" si="14"/>
        <v>0.4630431928580806</v>
      </c>
      <c r="G128" s="1510">
        <f t="shared" si="18"/>
        <v>53481</v>
      </c>
      <c r="H128" s="1510">
        <f t="shared" si="18"/>
        <v>29902</v>
      </c>
      <c r="I128" s="1507">
        <f t="shared" si="15"/>
        <v>0.55911445186140873</v>
      </c>
      <c r="J128" s="1510">
        <f t="shared" si="18"/>
        <v>68177</v>
      </c>
      <c r="K128" s="860">
        <f t="shared" si="16"/>
        <v>36956</v>
      </c>
      <c r="L128" s="1028">
        <f t="shared" si="17"/>
        <v>0.54205963888114761</v>
      </c>
    </row>
    <row r="129" spans="2:12">
      <c r="B129" s="2279"/>
      <c r="C129" s="2279"/>
      <c r="D129" s="2279"/>
      <c r="E129" s="2279"/>
      <c r="F129" s="2279"/>
      <c r="G129" s="2279"/>
      <c r="H129" s="2279"/>
      <c r="I129" s="2279"/>
      <c r="J129" s="2279"/>
      <c r="K129" s="2279"/>
      <c r="L129" s="2279"/>
    </row>
    <row r="130" spans="2:12">
      <c r="B130" s="1487"/>
      <c r="C130" s="1511" t="s">
        <v>6752</v>
      </c>
      <c r="D130" s="1512">
        <f t="shared" ref="D130:H130" si="19">SUM(D131:D134)</f>
        <v>13240</v>
      </c>
      <c r="E130" s="1512">
        <f t="shared" si="19"/>
        <v>6059</v>
      </c>
      <c r="F130" s="1513">
        <f>+E130/D130</f>
        <v>0.45762839879154077</v>
      </c>
      <c r="G130" s="1512">
        <f t="shared" si="19"/>
        <v>49865</v>
      </c>
      <c r="H130" s="1512">
        <f t="shared" si="19"/>
        <v>28342</v>
      </c>
      <c r="I130" s="1513">
        <f>+H130/G130</f>
        <v>0.5683746114509175</v>
      </c>
      <c r="J130" s="1512">
        <f t="shared" ref="J130" si="20">SUM(J131:J134)</f>
        <v>63105</v>
      </c>
      <c r="K130" s="1512">
        <f>+E130+H130</f>
        <v>34401</v>
      </c>
      <c r="L130" s="1028">
        <f>+K130/J130</f>
        <v>0.54513905395768958</v>
      </c>
    </row>
    <row r="131" spans="2:12">
      <c r="B131" s="828" t="s">
        <v>6753</v>
      </c>
      <c r="C131" s="797" t="s">
        <v>6754</v>
      </c>
      <c r="D131" s="1514">
        <v>2320</v>
      </c>
      <c r="E131" s="1514">
        <v>1167</v>
      </c>
      <c r="F131" s="1513">
        <f t="shared" ref="F131:F134" si="21">+E131/D131</f>
        <v>0.50301724137931036</v>
      </c>
      <c r="G131" s="1505">
        <v>14115</v>
      </c>
      <c r="H131" s="1505">
        <f>8144+143</f>
        <v>8287</v>
      </c>
      <c r="I131" s="1513">
        <f t="shared" ref="I131:I149" si="22">+H131/G131</f>
        <v>0.58710591569252568</v>
      </c>
      <c r="J131" s="1515">
        <f>+D131+G131</f>
        <v>16435</v>
      </c>
      <c r="K131" s="1512">
        <f t="shared" ref="K131:K134" si="23">+E131+H131</f>
        <v>9454</v>
      </c>
      <c r="L131" s="1028">
        <f t="shared" ref="L131:L134" si="24">+K131/J131</f>
        <v>0.57523577730453301</v>
      </c>
    </row>
    <row r="132" spans="2:12">
      <c r="B132" s="828" t="s">
        <v>6755</v>
      </c>
      <c r="C132" s="1516" t="s">
        <v>6756</v>
      </c>
      <c r="D132" s="1514">
        <v>5450</v>
      </c>
      <c r="E132" s="1514">
        <v>2477</v>
      </c>
      <c r="F132" s="1513">
        <f t="shared" si="21"/>
        <v>0.45449541284403672</v>
      </c>
      <c r="G132" s="1505">
        <v>17830</v>
      </c>
      <c r="H132" s="1505">
        <f>9826+202</f>
        <v>10028</v>
      </c>
      <c r="I132" s="1513">
        <f t="shared" si="22"/>
        <v>0.56242288278182839</v>
      </c>
      <c r="J132" s="1515">
        <f>+D132+G132</f>
        <v>23280</v>
      </c>
      <c r="K132" s="1512">
        <f t="shared" si="23"/>
        <v>12505</v>
      </c>
      <c r="L132" s="1028">
        <f t="shared" si="24"/>
        <v>0.53715635738831613</v>
      </c>
    </row>
    <row r="133" spans="2:12">
      <c r="B133" s="828" t="s">
        <v>271</v>
      </c>
      <c r="C133" s="1516" t="s">
        <v>6757</v>
      </c>
      <c r="D133" s="1514"/>
      <c r="E133" s="1514"/>
      <c r="F133" s="1513" t="e">
        <f t="shared" si="21"/>
        <v>#DIV/0!</v>
      </c>
      <c r="G133" s="1505">
        <v>105</v>
      </c>
      <c r="H133" s="1505">
        <v>38</v>
      </c>
      <c r="I133" s="1513">
        <f t="shared" si="22"/>
        <v>0.3619047619047619</v>
      </c>
      <c r="J133" s="1515">
        <f>+D133+G133</f>
        <v>105</v>
      </c>
      <c r="K133" s="1512">
        <f t="shared" si="23"/>
        <v>38</v>
      </c>
      <c r="L133" s="1028">
        <f t="shared" si="24"/>
        <v>0.3619047619047619</v>
      </c>
    </row>
    <row r="134" spans="2:12" ht="25.5">
      <c r="B134" s="798" t="s">
        <v>6758</v>
      </c>
      <c r="C134" s="1517" t="s">
        <v>6759</v>
      </c>
      <c r="D134" s="1514">
        <v>5470</v>
      </c>
      <c r="E134" s="1514">
        <v>2415</v>
      </c>
      <c r="F134" s="1513">
        <f t="shared" si="21"/>
        <v>0.44149908592321757</v>
      </c>
      <c r="G134" s="1505">
        <v>17815</v>
      </c>
      <c r="H134" s="1505">
        <f>9786+203</f>
        <v>9989</v>
      </c>
      <c r="I134" s="1513">
        <f t="shared" si="22"/>
        <v>0.5607072691552063</v>
      </c>
      <c r="J134" s="1515">
        <f>+D134+G134</f>
        <v>23285</v>
      </c>
      <c r="K134" s="1512">
        <f t="shared" si="23"/>
        <v>12404</v>
      </c>
      <c r="L134" s="1028">
        <f t="shared" si="24"/>
        <v>0.53270345716126266</v>
      </c>
    </row>
    <row r="135" spans="2:12" ht="25.5">
      <c r="B135" s="1487"/>
      <c r="C135" s="1511" t="s">
        <v>6760</v>
      </c>
      <c r="D135" s="1512">
        <f>SUM(D136:D148)</f>
        <v>226</v>
      </c>
      <c r="E135" s="1512">
        <f>SUM(E136:E148)</f>
        <v>123</v>
      </c>
      <c r="F135" s="1513">
        <f>+E135/D135</f>
        <v>0.54424778761061943</v>
      </c>
      <c r="G135" s="1512">
        <f>SUM(G136:G148)</f>
        <v>442</v>
      </c>
      <c r="H135" s="1512">
        <f>SUM(H136:H148)</f>
        <v>112</v>
      </c>
      <c r="I135" s="1513">
        <f t="shared" si="22"/>
        <v>0.25339366515837103</v>
      </c>
      <c r="J135" s="1512">
        <f>SUM(J136:J146)</f>
        <v>176</v>
      </c>
      <c r="K135" s="1512">
        <f>SUM(K136:K146)</f>
        <v>93</v>
      </c>
      <c r="L135" s="1028">
        <f>+K135/J135</f>
        <v>0.52840909090909094</v>
      </c>
    </row>
    <row r="136" spans="2:12">
      <c r="B136" s="828" t="s">
        <v>6761</v>
      </c>
      <c r="C136" s="1516" t="s">
        <v>6762</v>
      </c>
      <c r="D136" s="1514"/>
      <c r="E136" s="1514"/>
      <c r="F136" s="1513" t="e">
        <f t="shared" ref="F136:F149" si="25">+E136/D136</f>
        <v>#DIV/0!</v>
      </c>
      <c r="G136" s="1505">
        <v>2</v>
      </c>
      <c r="H136" s="1505">
        <v>2</v>
      </c>
      <c r="I136" s="1513">
        <f t="shared" si="22"/>
        <v>1</v>
      </c>
      <c r="J136" s="1515">
        <f t="shared" ref="J136:K149" si="26">+D136+G136</f>
        <v>2</v>
      </c>
      <c r="K136" s="860">
        <f>+E136+H136</f>
        <v>2</v>
      </c>
      <c r="L136" s="1028">
        <f t="shared" ref="L136:L149" si="27">+K136/J136</f>
        <v>1</v>
      </c>
    </row>
    <row r="137" spans="2:12">
      <c r="B137" s="828" t="s">
        <v>6763</v>
      </c>
      <c r="C137" s="1516" t="s">
        <v>6764</v>
      </c>
      <c r="D137" s="1514"/>
      <c r="E137" s="1514"/>
      <c r="F137" s="1513" t="e">
        <f t="shared" si="25"/>
        <v>#DIV/0!</v>
      </c>
      <c r="G137" s="1505">
        <v>3</v>
      </c>
      <c r="H137" s="1505"/>
      <c r="I137" s="1513">
        <f t="shared" si="22"/>
        <v>0</v>
      </c>
      <c r="J137" s="1515">
        <f t="shared" si="26"/>
        <v>3</v>
      </c>
      <c r="K137" s="860">
        <f t="shared" si="26"/>
        <v>0</v>
      </c>
      <c r="L137" s="1028">
        <f t="shared" si="27"/>
        <v>0</v>
      </c>
    </row>
    <row r="138" spans="2:12">
      <c r="B138" s="828" t="s">
        <v>6765</v>
      </c>
      <c r="C138" s="1516" t="s">
        <v>6766</v>
      </c>
      <c r="D138" s="1514"/>
      <c r="E138" s="1514">
        <v>3</v>
      </c>
      <c r="F138" s="1513" t="e">
        <f t="shared" si="25"/>
        <v>#DIV/0!</v>
      </c>
      <c r="G138" s="1505">
        <v>10</v>
      </c>
      <c r="H138" s="1505">
        <v>2</v>
      </c>
      <c r="I138" s="1513">
        <f t="shared" si="22"/>
        <v>0.2</v>
      </c>
      <c r="J138" s="1515">
        <f t="shared" si="26"/>
        <v>10</v>
      </c>
      <c r="K138" s="860">
        <f t="shared" si="26"/>
        <v>5</v>
      </c>
      <c r="L138" s="1028">
        <f t="shared" si="27"/>
        <v>0.5</v>
      </c>
    </row>
    <row r="139" spans="2:12" ht="25.5">
      <c r="B139" s="828" t="s">
        <v>6767</v>
      </c>
      <c r="C139" s="1516" t="s">
        <v>6768</v>
      </c>
      <c r="D139" s="1514"/>
      <c r="E139" s="1514">
        <v>2</v>
      </c>
      <c r="F139" s="1513" t="e">
        <f t="shared" si="25"/>
        <v>#DIV/0!</v>
      </c>
      <c r="G139" s="1505">
        <v>10</v>
      </c>
      <c r="H139" s="1505">
        <v>9</v>
      </c>
      <c r="I139" s="1513">
        <f t="shared" si="22"/>
        <v>0.9</v>
      </c>
      <c r="J139" s="1515">
        <f t="shared" si="26"/>
        <v>10</v>
      </c>
      <c r="K139" s="860">
        <f t="shared" si="26"/>
        <v>11</v>
      </c>
      <c r="L139" s="1028">
        <f t="shared" si="27"/>
        <v>1.1000000000000001</v>
      </c>
    </row>
    <row r="140" spans="2:12">
      <c r="B140" s="828" t="s">
        <v>6769</v>
      </c>
      <c r="C140" s="1516" t="s">
        <v>6770</v>
      </c>
      <c r="D140" s="1514"/>
      <c r="E140" s="1514"/>
      <c r="F140" s="1513" t="e">
        <f t="shared" si="25"/>
        <v>#DIV/0!</v>
      </c>
      <c r="G140" s="1505"/>
      <c r="H140" s="1505">
        <v>3</v>
      </c>
      <c r="I140" s="1513" t="e">
        <f t="shared" si="22"/>
        <v>#DIV/0!</v>
      </c>
      <c r="J140" s="1515">
        <f t="shared" si="26"/>
        <v>0</v>
      </c>
      <c r="K140" s="860">
        <f t="shared" si="26"/>
        <v>3</v>
      </c>
      <c r="L140" s="1028" t="e">
        <f t="shared" si="27"/>
        <v>#DIV/0!</v>
      </c>
    </row>
    <row r="141" spans="2:12">
      <c r="B141" s="828" t="s">
        <v>6771</v>
      </c>
      <c r="C141" s="1516" t="s">
        <v>6772</v>
      </c>
      <c r="D141" s="1514"/>
      <c r="E141" s="1514"/>
      <c r="F141" s="1513" t="e">
        <f t="shared" si="25"/>
        <v>#DIV/0!</v>
      </c>
      <c r="G141" s="1505">
        <v>5</v>
      </c>
      <c r="H141" s="1505">
        <v>1</v>
      </c>
      <c r="I141" s="1513">
        <f t="shared" si="22"/>
        <v>0.2</v>
      </c>
      <c r="J141" s="1515">
        <f t="shared" si="26"/>
        <v>5</v>
      </c>
      <c r="K141" s="860">
        <f t="shared" si="26"/>
        <v>1</v>
      </c>
      <c r="L141" s="1028">
        <f t="shared" si="27"/>
        <v>0.2</v>
      </c>
    </row>
    <row r="142" spans="2:12">
      <c r="B142" s="828" t="s">
        <v>6773</v>
      </c>
      <c r="C142" s="1516" t="s">
        <v>6774</v>
      </c>
      <c r="D142" s="1514">
        <v>1</v>
      </c>
      <c r="E142" s="1514">
        <v>4</v>
      </c>
      <c r="F142" s="1513">
        <f t="shared" si="25"/>
        <v>4</v>
      </c>
      <c r="G142" s="1505">
        <v>35</v>
      </c>
      <c r="H142" s="1505">
        <v>20</v>
      </c>
      <c r="I142" s="1513">
        <f t="shared" si="22"/>
        <v>0.5714285714285714</v>
      </c>
      <c r="J142" s="1515">
        <f t="shared" si="26"/>
        <v>36</v>
      </c>
      <c r="K142" s="860">
        <f t="shared" si="26"/>
        <v>24</v>
      </c>
      <c r="L142" s="1028">
        <f t="shared" si="27"/>
        <v>0.66666666666666663</v>
      </c>
    </row>
    <row r="143" spans="2:12">
      <c r="B143" s="828" t="s">
        <v>6775</v>
      </c>
      <c r="C143" s="1516" t="s">
        <v>6776</v>
      </c>
      <c r="D143" s="1514">
        <v>5</v>
      </c>
      <c r="E143" s="1514">
        <v>3</v>
      </c>
      <c r="F143" s="1513">
        <f t="shared" si="25"/>
        <v>0.6</v>
      </c>
      <c r="G143" s="1505">
        <v>25</v>
      </c>
      <c r="H143" s="1505">
        <v>14</v>
      </c>
      <c r="I143" s="1513">
        <f t="shared" si="22"/>
        <v>0.56000000000000005</v>
      </c>
      <c r="J143" s="1515">
        <f t="shared" si="26"/>
        <v>30</v>
      </c>
      <c r="K143" s="860">
        <f t="shared" si="26"/>
        <v>17</v>
      </c>
      <c r="L143" s="1028">
        <f t="shared" si="27"/>
        <v>0.56666666666666665</v>
      </c>
    </row>
    <row r="144" spans="2:12">
      <c r="B144" s="828" t="s">
        <v>6777</v>
      </c>
      <c r="C144" s="1516" t="s">
        <v>6778</v>
      </c>
      <c r="D144" s="1514">
        <v>2</v>
      </c>
      <c r="E144" s="1514"/>
      <c r="F144" s="1513">
        <f t="shared" si="25"/>
        <v>0</v>
      </c>
      <c r="G144" s="1505">
        <v>55</v>
      </c>
      <c r="H144" s="1505">
        <v>27</v>
      </c>
      <c r="I144" s="1513">
        <f t="shared" si="22"/>
        <v>0.49090909090909091</v>
      </c>
      <c r="J144" s="1515">
        <f t="shared" si="26"/>
        <v>57</v>
      </c>
      <c r="K144" s="860">
        <f t="shared" si="26"/>
        <v>27</v>
      </c>
      <c r="L144" s="1028">
        <f t="shared" si="27"/>
        <v>0.47368421052631576</v>
      </c>
    </row>
    <row r="145" spans="2:12">
      <c r="B145" s="828" t="s">
        <v>6779</v>
      </c>
      <c r="C145" s="1516" t="s">
        <v>6780</v>
      </c>
      <c r="D145" s="1514">
        <v>2</v>
      </c>
      <c r="E145" s="1514">
        <v>1</v>
      </c>
      <c r="F145" s="1513">
        <f t="shared" si="25"/>
        <v>0.5</v>
      </c>
      <c r="G145" s="1505">
        <v>15</v>
      </c>
      <c r="H145" s="1505">
        <v>1</v>
      </c>
      <c r="I145" s="1513">
        <f t="shared" si="22"/>
        <v>6.6666666666666666E-2</v>
      </c>
      <c r="J145" s="1515">
        <f t="shared" si="26"/>
        <v>17</v>
      </c>
      <c r="K145" s="860">
        <f t="shared" si="26"/>
        <v>2</v>
      </c>
      <c r="L145" s="1028">
        <f t="shared" si="27"/>
        <v>0.11764705882352941</v>
      </c>
    </row>
    <row r="146" spans="2:12">
      <c r="B146" s="828" t="s">
        <v>6781</v>
      </c>
      <c r="C146" s="1516" t="s">
        <v>6782</v>
      </c>
      <c r="D146" s="1514">
        <v>1</v>
      </c>
      <c r="E146" s="1514">
        <v>1</v>
      </c>
      <c r="F146" s="1513">
        <f t="shared" si="25"/>
        <v>1</v>
      </c>
      <c r="G146" s="1505">
        <v>5</v>
      </c>
      <c r="H146" s="1505"/>
      <c r="I146" s="1513">
        <f t="shared" si="22"/>
        <v>0</v>
      </c>
      <c r="J146" s="1515">
        <f t="shared" si="26"/>
        <v>6</v>
      </c>
      <c r="K146" s="860">
        <f t="shared" si="26"/>
        <v>1</v>
      </c>
      <c r="L146" s="1028">
        <f t="shared" si="27"/>
        <v>0.16666666666666666</v>
      </c>
    </row>
    <row r="147" spans="2:12" ht="38.25">
      <c r="B147" s="1487"/>
      <c r="C147" s="1511" t="s">
        <v>6783</v>
      </c>
      <c r="D147" s="1512">
        <f>SUM(D148:D149)</f>
        <v>170</v>
      </c>
      <c r="E147" s="1512">
        <f>SUM(E148:E149)</f>
        <v>92</v>
      </c>
      <c r="F147" s="1513">
        <f t="shared" si="25"/>
        <v>0.54117647058823526</v>
      </c>
      <c r="G147" s="1512">
        <f>SUM(G148:G149)</f>
        <v>211</v>
      </c>
      <c r="H147" s="1512"/>
      <c r="I147" s="1513">
        <f t="shared" si="22"/>
        <v>0</v>
      </c>
      <c r="J147" s="1512">
        <f t="shared" ref="J147" si="28">SUM(J148:J149)</f>
        <v>335</v>
      </c>
      <c r="K147" s="860">
        <f t="shared" si="26"/>
        <v>92</v>
      </c>
      <c r="L147" s="1028">
        <f t="shared" si="27"/>
        <v>0.2746268656716418</v>
      </c>
    </row>
    <row r="148" spans="2:12">
      <c r="B148" s="828" t="s">
        <v>6784</v>
      </c>
      <c r="C148" s="1516" t="s">
        <v>6785</v>
      </c>
      <c r="D148" s="1494">
        <v>45</v>
      </c>
      <c r="E148" s="1494">
        <v>17</v>
      </c>
      <c r="F148" s="1513">
        <f t="shared" si="25"/>
        <v>0.37777777777777777</v>
      </c>
      <c r="G148" s="1505">
        <v>66</v>
      </c>
      <c r="H148" s="1505">
        <v>33</v>
      </c>
      <c r="I148" s="1513">
        <f t="shared" si="22"/>
        <v>0.5</v>
      </c>
      <c r="J148" s="1505">
        <v>65</v>
      </c>
      <c r="K148" s="860">
        <f t="shared" si="26"/>
        <v>50</v>
      </c>
      <c r="L148" s="1028">
        <f t="shared" si="27"/>
        <v>0.76923076923076927</v>
      </c>
    </row>
    <row r="149" spans="2:12" ht="25.5">
      <c r="B149" s="828" t="s">
        <v>6786</v>
      </c>
      <c r="C149" s="1516" t="s">
        <v>6787</v>
      </c>
      <c r="D149" s="1514">
        <v>125</v>
      </c>
      <c r="E149" s="1514">
        <v>75</v>
      </c>
      <c r="F149" s="1513">
        <f t="shared" si="25"/>
        <v>0.6</v>
      </c>
      <c r="G149" s="1505">
        <v>145</v>
      </c>
      <c r="H149" s="1505">
        <v>76</v>
      </c>
      <c r="I149" s="1513">
        <f t="shared" si="22"/>
        <v>0.52413793103448281</v>
      </c>
      <c r="J149" s="1515">
        <f>+D149+G149</f>
        <v>270</v>
      </c>
      <c r="K149" s="860">
        <f t="shared" si="26"/>
        <v>151</v>
      </c>
      <c r="L149" s="1028">
        <f t="shared" si="27"/>
        <v>0.55925925925925923</v>
      </c>
    </row>
    <row r="150" spans="2:12">
      <c r="B150" s="2280"/>
      <c r="C150" s="2280"/>
      <c r="D150" s="2280"/>
      <c r="E150" s="2280"/>
      <c r="F150" s="2280"/>
      <c r="G150" s="2280"/>
      <c r="H150" s="2280"/>
      <c r="I150" s="2280"/>
      <c r="J150" s="2280"/>
      <c r="K150" s="2280"/>
      <c r="L150" s="2280"/>
    </row>
    <row r="151" spans="2:12">
      <c r="B151" s="1487"/>
      <c r="C151" s="1511" t="s">
        <v>6788</v>
      </c>
      <c r="D151" s="1518">
        <f t="shared" ref="D151:J151" si="29">SUM(D152:D153)</f>
        <v>0</v>
      </c>
      <c r="E151" s="1518">
        <f t="shared" si="29"/>
        <v>1</v>
      </c>
      <c r="F151" s="1519" t="e">
        <f>+E151/D151</f>
        <v>#DIV/0!</v>
      </c>
      <c r="G151" s="1518">
        <f t="shared" si="29"/>
        <v>135</v>
      </c>
      <c r="H151" s="1518">
        <f t="shared" si="29"/>
        <v>65</v>
      </c>
      <c r="I151" s="1519">
        <f>+H151/G151</f>
        <v>0.48148148148148145</v>
      </c>
      <c r="J151" s="1518">
        <f t="shared" si="29"/>
        <v>135</v>
      </c>
      <c r="K151" s="1231">
        <f>+E151+H151</f>
        <v>66</v>
      </c>
      <c r="L151" s="1547">
        <f>+K151/J151</f>
        <v>0.48888888888888887</v>
      </c>
    </row>
    <row r="152" spans="2:12">
      <c r="B152" s="828" t="s">
        <v>6789</v>
      </c>
      <c r="C152" s="1516" t="s">
        <v>6790</v>
      </c>
      <c r="D152" s="1520"/>
      <c r="E152" s="1520">
        <v>1</v>
      </c>
      <c r="F152" s="1519" t="e">
        <f t="shared" ref="F152:F153" si="30">+E152/D152</f>
        <v>#DIV/0!</v>
      </c>
      <c r="G152" s="1501">
        <v>50</v>
      </c>
      <c r="H152" s="1501">
        <v>23</v>
      </c>
      <c r="I152" s="1519">
        <f t="shared" ref="I152:I153" si="31">+H152/G152</f>
        <v>0.46</v>
      </c>
      <c r="J152" s="1521">
        <f>+D152+G152</f>
        <v>50</v>
      </c>
      <c r="K152" s="1231">
        <f t="shared" ref="K152:K153" si="32">+E152+H152</f>
        <v>24</v>
      </c>
      <c r="L152" s="1547">
        <f t="shared" ref="L152:L153" si="33">+K152/J152</f>
        <v>0.48</v>
      </c>
    </row>
    <row r="153" spans="2:12">
      <c r="B153" s="828" t="s">
        <v>6791</v>
      </c>
      <c r="C153" s="1516" t="s">
        <v>6792</v>
      </c>
      <c r="D153" s="1520"/>
      <c r="E153" s="1520"/>
      <c r="F153" s="1519" t="e">
        <f t="shared" si="30"/>
        <v>#DIV/0!</v>
      </c>
      <c r="G153" s="1501">
        <v>85</v>
      </c>
      <c r="H153" s="1501">
        <v>42</v>
      </c>
      <c r="I153" s="1519">
        <f t="shared" si="31"/>
        <v>0.49411764705882355</v>
      </c>
      <c r="J153" s="1521">
        <f>+D153+G153</f>
        <v>85</v>
      </c>
      <c r="K153" s="1231">
        <f t="shared" si="32"/>
        <v>42</v>
      </c>
      <c r="L153" s="1547">
        <f t="shared" si="33"/>
        <v>0.49411764705882355</v>
      </c>
    </row>
    <row r="154" spans="2:12">
      <c r="B154" s="2279"/>
      <c r="C154" s="2279"/>
      <c r="D154" s="2279"/>
      <c r="E154" s="2279"/>
      <c r="F154" s="2279"/>
      <c r="G154" s="2279"/>
      <c r="H154" s="2279"/>
      <c r="I154" s="2279"/>
      <c r="J154" s="2279"/>
      <c r="K154" s="2279"/>
      <c r="L154" s="2279"/>
    </row>
    <row r="155" spans="2:12">
      <c r="B155" s="1487"/>
      <c r="C155" s="1511" t="s">
        <v>6793</v>
      </c>
      <c r="D155" s="1518">
        <f t="shared" ref="D155:J155" si="34">SUM(D156:D159)</f>
        <v>20</v>
      </c>
      <c r="E155" s="1518">
        <f t="shared" si="34"/>
        <v>8</v>
      </c>
      <c r="F155" s="1519">
        <f>+E155/D155</f>
        <v>0.4</v>
      </c>
      <c r="G155" s="1518">
        <f t="shared" si="34"/>
        <v>157</v>
      </c>
      <c r="H155" s="1518">
        <f t="shared" si="34"/>
        <v>69</v>
      </c>
      <c r="I155" s="1519">
        <f>+H155/G155</f>
        <v>0.43949044585987262</v>
      </c>
      <c r="J155" s="1518">
        <f t="shared" si="34"/>
        <v>177</v>
      </c>
      <c r="K155" s="1231">
        <f>+E155+H155</f>
        <v>77</v>
      </c>
      <c r="L155" s="1547">
        <f>+K155/J155</f>
        <v>0.43502824858757061</v>
      </c>
    </row>
    <row r="156" spans="2:12">
      <c r="B156" s="828" t="s">
        <v>6794</v>
      </c>
      <c r="C156" s="1516" t="s">
        <v>6795</v>
      </c>
      <c r="D156" s="1520">
        <v>10</v>
      </c>
      <c r="E156" s="1520"/>
      <c r="F156" s="1519">
        <f t="shared" ref="F156:F159" si="35">+E156/D156</f>
        <v>0</v>
      </c>
      <c r="G156" s="1501">
        <v>15</v>
      </c>
      <c r="H156" s="1501">
        <v>5</v>
      </c>
      <c r="I156" s="1519">
        <f t="shared" ref="I156:I159" si="36">+H156/G156</f>
        <v>0.33333333333333331</v>
      </c>
      <c r="J156" s="1521">
        <f>+D156+G156</f>
        <v>25</v>
      </c>
      <c r="K156" s="1231">
        <f t="shared" ref="K156:K159" si="37">+E156+H156</f>
        <v>5</v>
      </c>
      <c r="L156" s="1547">
        <f t="shared" ref="L156:L159" si="38">+K156/J156</f>
        <v>0.2</v>
      </c>
    </row>
    <row r="157" spans="2:12">
      <c r="B157" s="828" t="s">
        <v>6796</v>
      </c>
      <c r="C157" s="1516" t="s">
        <v>6797</v>
      </c>
      <c r="D157" s="1520">
        <v>10</v>
      </c>
      <c r="E157" s="1520">
        <v>8</v>
      </c>
      <c r="F157" s="1519">
        <f t="shared" si="35"/>
        <v>0.8</v>
      </c>
      <c r="G157" s="1501">
        <v>80</v>
      </c>
      <c r="H157" s="1501">
        <v>34</v>
      </c>
      <c r="I157" s="1519">
        <f t="shared" si="36"/>
        <v>0.42499999999999999</v>
      </c>
      <c r="J157" s="1521">
        <f>+D157+G157</f>
        <v>90</v>
      </c>
      <c r="K157" s="1231">
        <f t="shared" si="37"/>
        <v>42</v>
      </c>
      <c r="L157" s="1547">
        <f t="shared" si="38"/>
        <v>0.46666666666666667</v>
      </c>
    </row>
    <row r="158" spans="2:12">
      <c r="B158" s="828" t="s">
        <v>6798</v>
      </c>
      <c r="C158" s="1516" t="s">
        <v>6799</v>
      </c>
      <c r="D158" s="1520"/>
      <c r="E158" s="1520"/>
      <c r="F158" s="1519" t="e">
        <f t="shared" si="35"/>
        <v>#DIV/0!</v>
      </c>
      <c r="G158" s="1501">
        <v>2</v>
      </c>
      <c r="H158" s="1501">
        <v>2</v>
      </c>
      <c r="I158" s="1519">
        <f t="shared" si="36"/>
        <v>1</v>
      </c>
      <c r="J158" s="1521">
        <f>+D158+G158</f>
        <v>2</v>
      </c>
      <c r="K158" s="1231">
        <f t="shared" si="37"/>
        <v>2</v>
      </c>
      <c r="L158" s="1547">
        <f t="shared" si="38"/>
        <v>1</v>
      </c>
    </row>
    <row r="159" spans="2:12">
      <c r="B159" s="828" t="s">
        <v>6800</v>
      </c>
      <c r="C159" s="1516" t="s">
        <v>6801</v>
      </c>
      <c r="D159" s="1520"/>
      <c r="E159" s="1520"/>
      <c r="F159" s="1519" t="e">
        <f t="shared" si="35"/>
        <v>#DIV/0!</v>
      </c>
      <c r="G159" s="1501">
        <v>60</v>
      </c>
      <c r="H159" s="1501">
        <v>28</v>
      </c>
      <c r="I159" s="1519">
        <f t="shared" si="36"/>
        <v>0.46666666666666667</v>
      </c>
      <c r="J159" s="1521">
        <f>+D159+G159</f>
        <v>60</v>
      </c>
      <c r="K159" s="1231">
        <f t="shared" si="37"/>
        <v>28</v>
      </c>
      <c r="L159" s="1547">
        <f t="shared" si="38"/>
        <v>0.46666666666666667</v>
      </c>
    </row>
    <row r="160" spans="2:12">
      <c r="B160" s="1487"/>
      <c r="C160" s="1511" t="s">
        <v>6802</v>
      </c>
      <c r="D160" s="1512">
        <f t="shared" ref="D160:J160" si="39">SUM(D161:D165)</f>
        <v>0</v>
      </c>
      <c r="E160" s="1512">
        <f t="shared" si="39"/>
        <v>0</v>
      </c>
      <c r="F160" s="1513" t="e">
        <f>+E160/D160</f>
        <v>#DIV/0!</v>
      </c>
      <c r="G160" s="1512">
        <f t="shared" si="39"/>
        <v>96</v>
      </c>
      <c r="H160" s="1512">
        <f t="shared" si="39"/>
        <v>37</v>
      </c>
      <c r="I160" s="1513">
        <f>+H160/G160</f>
        <v>0.38541666666666669</v>
      </c>
      <c r="J160" s="1512">
        <f t="shared" si="39"/>
        <v>96</v>
      </c>
      <c r="K160" s="1518">
        <f>+E160+H160</f>
        <v>37</v>
      </c>
      <c r="L160" s="1217">
        <f>+K160/J160</f>
        <v>0.38541666666666669</v>
      </c>
    </row>
    <row r="161" spans="2:12">
      <c r="B161" s="828" t="s">
        <v>6803</v>
      </c>
      <c r="C161" s="1516" t="s">
        <v>6804</v>
      </c>
      <c r="D161" s="1522"/>
      <c r="E161" s="1522"/>
      <c r="F161" s="1513" t="e">
        <f t="shared" ref="F161:F165" si="40">+E161/D161</f>
        <v>#DIV/0!</v>
      </c>
      <c r="G161" s="1514">
        <v>15</v>
      </c>
      <c r="H161" s="1514">
        <v>5</v>
      </c>
      <c r="I161" s="1513">
        <f t="shared" ref="I161:I165" si="41">+H161/G161</f>
        <v>0.33333333333333331</v>
      </c>
      <c r="J161" s="1515">
        <f>+D161+G161</f>
        <v>15</v>
      </c>
      <c r="K161" s="1518">
        <f t="shared" ref="K161:K179" si="42">+E161+H161</f>
        <v>5</v>
      </c>
      <c r="L161" s="1217">
        <f t="shared" ref="L161:L165" si="43">+K161/J161</f>
        <v>0.33333333333333331</v>
      </c>
    </row>
    <row r="162" spans="2:12">
      <c r="B162" s="828" t="s">
        <v>6805</v>
      </c>
      <c r="C162" s="1488" t="s">
        <v>6806</v>
      </c>
      <c r="D162" s="1522"/>
      <c r="E162" s="1522"/>
      <c r="F162" s="1513" t="e">
        <f t="shared" si="40"/>
        <v>#DIV/0!</v>
      </c>
      <c r="G162" s="1494">
        <v>40</v>
      </c>
      <c r="H162" s="1494">
        <v>26</v>
      </c>
      <c r="I162" s="1513">
        <f t="shared" si="41"/>
        <v>0.65</v>
      </c>
      <c r="J162" s="1515">
        <f>+D162+G162</f>
        <v>40</v>
      </c>
      <c r="K162" s="1518">
        <f t="shared" si="42"/>
        <v>26</v>
      </c>
      <c r="L162" s="1217">
        <f t="shared" si="43"/>
        <v>0.65</v>
      </c>
    </row>
    <row r="163" spans="2:12">
      <c r="B163" s="828" t="s">
        <v>6807</v>
      </c>
      <c r="C163" s="1488" t="s">
        <v>6808</v>
      </c>
      <c r="D163" s="1494"/>
      <c r="E163" s="1494"/>
      <c r="F163" s="1513" t="e">
        <f t="shared" si="40"/>
        <v>#DIV/0!</v>
      </c>
      <c r="G163" s="1505">
        <v>15</v>
      </c>
      <c r="H163" s="1505">
        <v>4</v>
      </c>
      <c r="I163" s="1513">
        <f t="shared" si="41"/>
        <v>0.26666666666666666</v>
      </c>
      <c r="J163" s="1515">
        <f>+D163+G163</f>
        <v>15</v>
      </c>
      <c r="K163" s="1518">
        <f t="shared" si="42"/>
        <v>4</v>
      </c>
      <c r="L163" s="1217">
        <f t="shared" si="43"/>
        <v>0.26666666666666666</v>
      </c>
    </row>
    <row r="164" spans="2:12">
      <c r="B164" s="828" t="s">
        <v>6809</v>
      </c>
      <c r="C164" s="1488" t="s">
        <v>6810</v>
      </c>
      <c r="D164" s="1494"/>
      <c r="E164" s="1494"/>
      <c r="F164" s="1513" t="e">
        <f t="shared" si="40"/>
        <v>#DIV/0!</v>
      </c>
      <c r="G164" s="1505">
        <v>25</v>
      </c>
      <c r="H164" s="1505">
        <v>2</v>
      </c>
      <c r="I164" s="1513">
        <f t="shared" si="41"/>
        <v>0.08</v>
      </c>
      <c r="J164" s="1515">
        <f>+D164+G164</f>
        <v>25</v>
      </c>
      <c r="K164" s="1518">
        <f t="shared" si="42"/>
        <v>2</v>
      </c>
      <c r="L164" s="1217">
        <f t="shared" si="43"/>
        <v>0.08</v>
      </c>
    </row>
    <row r="165" spans="2:12">
      <c r="B165" s="828" t="s">
        <v>6811</v>
      </c>
      <c r="C165" s="1488" t="s">
        <v>6812</v>
      </c>
      <c r="D165" s="1494"/>
      <c r="E165" s="1494"/>
      <c r="F165" s="1513" t="e">
        <f t="shared" si="40"/>
        <v>#DIV/0!</v>
      </c>
      <c r="G165" s="1505">
        <v>1</v>
      </c>
      <c r="H165" s="1505"/>
      <c r="I165" s="1513">
        <f t="shared" si="41"/>
        <v>0</v>
      </c>
      <c r="J165" s="1515">
        <f>+D165+G165</f>
        <v>1</v>
      </c>
      <c r="K165" s="1518">
        <f t="shared" si="42"/>
        <v>0</v>
      </c>
      <c r="L165" s="1217">
        <f t="shared" si="43"/>
        <v>0</v>
      </c>
    </row>
    <row r="166" spans="2:12" ht="25.5">
      <c r="B166" s="1487"/>
      <c r="C166" s="1511" t="s">
        <v>6813</v>
      </c>
      <c r="D166" s="1512">
        <f t="shared" ref="D166:J166" si="44">SUM(D167:D179)</f>
        <v>246</v>
      </c>
      <c r="E166" s="1512">
        <f t="shared" si="44"/>
        <v>117</v>
      </c>
      <c r="F166" s="1513">
        <f>+E166/D166</f>
        <v>0.47560975609756095</v>
      </c>
      <c r="G166" s="1512">
        <f t="shared" si="44"/>
        <v>531</v>
      </c>
      <c r="H166" s="1512">
        <f t="shared" si="44"/>
        <v>270</v>
      </c>
      <c r="I166" s="1513">
        <f>+H166/G166</f>
        <v>0.50847457627118642</v>
      </c>
      <c r="J166" s="1512">
        <f t="shared" si="44"/>
        <v>777</v>
      </c>
      <c r="K166" s="1518">
        <f t="shared" si="42"/>
        <v>387</v>
      </c>
      <c r="L166" s="1028">
        <f>+K166/J166</f>
        <v>0.49806949806949807</v>
      </c>
    </row>
    <row r="167" spans="2:12" ht="25.5">
      <c r="B167" s="828" t="s">
        <v>273</v>
      </c>
      <c r="C167" s="1516" t="s">
        <v>6814</v>
      </c>
      <c r="D167" s="1514">
        <v>165</v>
      </c>
      <c r="E167" s="1514">
        <v>63</v>
      </c>
      <c r="F167" s="1513">
        <f t="shared" ref="F167:F179" si="45">+E167/D167</f>
        <v>0.38181818181818183</v>
      </c>
      <c r="G167" s="1505">
        <v>85</v>
      </c>
      <c r="H167" s="1505">
        <v>32</v>
      </c>
      <c r="I167" s="1513">
        <f t="shared" ref="I167:I179" si="46">+H167/G167</f>
        <v>0.37647058823529411</v>
      </c>
      <c r="J167" s="1515">
        <f t="shared" ref="J167:J179" si="47">+D167+G167</f>
        <v>250</v>
      </c>
      <c r="K167" s="1518">
        <f t="shared" si="42"/>
        <v>95</v>
      </c>
      <c r="L167" s="1028">
        <f t="shared" ref="L167:L179" si="48">+K167/J167</f>
        <v>0.38</v>
      </c>
    </row>
    <row r="168" spans="2:12" ht="25.5">
      <c r="B168" s="828" t="s">
        <v>272</v>
      </c>
      <c r="C168" s="1516" t="s">
        <v>6815</v>
      </c>
      <c r="D168" s="1514">
        <v>75</v>
      </c>
      <c r="E168" s="1514">
        <v>54</v>
      </c>
      <c r="F168" s="1513">
        <f t="shared" si="45"/>
        <v>0.72</v>
      </c>
      <c r="G168" s="1505">
        <v>30</v>
      </c>
      <c r="H168" s="1505">
        <v>11</v>
      </c>
      <c r="I168" s="1513">
        <f t="shared" si="46"/>
        <v>0.36666666666666664</v>
      </c>
      <c r="J168" s="1515">
        <f t="shared" si="47"/>
        <v>105</v>
      </c>
      <c r="K168" s="1518">
        <f t="shared" si="42"/>
        <v>65</v>
      </c>
      <c r="L168" s="1028">
        <f t="shared" si="48"/>
        <v>0.61904761904761907</v>
      </c>
    </row>
    <row r="169" spans="2:12">
      <c r="B169" s="828" t="s">
        <v>6816</v>
      </c>
      <c r="C169" s="1516" t="s">
        <v>6817</v>
      </c>
      <c r="D169" s="1514"/>
      <c r="E169" s="1514"/>
      <c r="F169" s="1513" t="e">
        <f t="shared" si="45"/>
        <v>#DIV/0!</v>
      </c>
      <c r="G169" s="1505">
        <v>2</v>
      </c>
      <c r="H169" s="1505"/>
      <c r="I169" s="1513">
        <f t="shared" si="46"/>
        <v>0</v>
      </c>
      <c r="J169" s="1515">
        <f t="shared" si="47"/>
        <v>2</v>
      </c>
      <c r="K169" s="1518">
        <f t="shared" si="42"/>
        <v>0</v>
      </c>
      <c r="L169" s="1028">
        <f t="shared" si="48"/>
        <v>0</v>
      </c>
    </row>
    <row r="170" spans="2:12">
      <c r="B170" s="828" t="s">
        <v>6818</v>
      </c>
      <c r="C170" s="1516" t="s">
        <v>6819</v>
      </c>
      <c r="D170" s="1523"/>
      <c r="E170" s="1523"/>
      <c r="F170" s="1513" t="e">
        <f t="shared" si="45"/>
        <v>#DIV/0!</v>
      </c>
      <c r="G170" s="1505">
        <v>1</v>
      </c>
      <c r="H170" s="1505">
        <v>5</v>
      </c>
      <c r="I170" s="1513">
        <f t="shared" si="46"/>
        <v>5</v>
      </c>
      <c r="J170" s="1515">
        <f t="shared" si="47"/>
        <v>1</v>
      </c>
      <c r="K170" s="1518">
        <f t="shared" si="42"/>
        <v>5</v>
      </c>
      <c r="L170" s="1028">
        <f t="shared" si="48"/>
        <v>5</v>
      </c>
    </row>
    <row r="171" spans="2:12">
      <c r="B171" s="828" t="s">
        <v>6820</v>
      </c>
      <c r="C171" s="1516" t="s">
        <v>6821</v>
      </c>
      <c r="D171" s="1523"/>
      <c r="E171" s="1523"/>
      <c r="F171" s="1513" t="e">
        <f t="shared" si="45"/>
        <v>#DIV/0!</v>
      </c>
      <c r="G171" s="1505">
        <v>15</v>
      </c>
      <c r="H171" s="1505">
        <v>7</v>
      </c>
      <c r="I171" s="1513">
        <f t="shared" si="46"/>
        <v>0.46666666666666667</v>
      </c>
      <c r="J171" s="1515">
        <f t="shared" si="47"/>
        <v>15</v>
      </c>
      <c r="K171" s="1518">
        <f t="shared" si="42"/>
        <v>7</v>
      </c>
      <c r="L171" s="1028">
        <f t="shared" si="48"/>
        <v>0.46666666666666667</v>
      </c>
    </row>
    <row r="172" spans="2:12">
      <c r="B172" s="828" t="s">
        <v>6822</v>
      </c>
      <c r="C172" s="1516" t="s">
        <v>6823</v>
      </c>
      <c r="D172" s="1523">
        <v>2</v>
      </c>
      <c r="E172" s="1523"/>
      <c r="F172" s="1513">
        <f t="shared" si="45"/>
        <v>0</v>
      </c>
      <c r="G172" s="1505">
        <v>65</v>
      </c>
      <c r="H172" s="1505">
        <v>27</v>
      </c>
      <c r="I172" s="1513">
        <f t="shared" si="46"/>
        <v>0.41538461538461541</v>
      </c>
      <c r="J172" s="1515">
        <f t="shared" si="47"/>
        <v>67</v>
      </c>
      <c r="K172" s="1518">
        <f t="shared" si="42"/>
        <v>27</v>
      </c>
      <c r="L172" s="1028">
        <f t="shared" si="48"/>
        <v>0.40298507462686567</v>
      </c>
    </row>
    <row r="173" spans="2:12">
      <c r="B173" s="828" t="s">
        <v>6283</v>
      </c>
      <c r="C173" s="1516" t="s">
        <v>6824</v>
      </c>
      <c r="D173" s="1524">
        <v>2</v>
      </c>
      <c r="E173" s="1524"/>
      <c r="F173" s="1513">
        <f t="shared" si="45"/>
        <v>0</v>
      </c>
      <c r="G173" s="1505">
        <v>1</v>
      </c>
      <c r="H173" s="1505">
        <v>1</v>
      </c>
      <c r="I173" s="1513">
        <f t="shared" si="46"/>
        <v>1</v>
      </c>
      <c r="J173" s="1515">
        <f t="shared" si="47"/>
        <v>3</v>
      </c>
      <c r="K173" s="1518">
        <f t="shared" si="42"/>
        <v>1</v>
      </c>
      <c r="L173" s="1028">
        <f t="shared" si="48"/>
        <v>0.33333333333333331</v>
      </c>
    </row>
    <row r="174" spans="2:12">
      <c r="B174" s="828" t="s">
        <v>6825</v>
      </c>
      <c r="C174" s="1516" t="s">
        <v>6826</v>
      </c>
      <c r="D174" s="1524"/>
      <c r="E174" s="1524"/>
      <c r="F174" s="1513" t="e">
        <f t="shared" si="45"/>
        <v>#DIV/0!</v>
      </c>
      <c r="G174" s="1505"/>
      <c r="H174" s="1505"/>
      <c r="I174" s="1513" t="e">
        <f t="shared" si="46"/>
        <v>#DIV/0!</v>
      </c>
      <c r="J174" s="1515">
        <f t="shared" si="47"/>
        <v>0</v>
      </c>
      <c r="K174" s="1518">
        <f t="shared" si="42"/>
        <v>0</v>
      </c>
      <c r="L174" s="1028" t="e">
        <f t="shared" si="48"/>
        <v>#DIV/0!</v>
      </c>
    </row>
    <row r="175" spans="2:12">
      <c r="B175" s="828" t="s">
        <v>6827</v>
      </c>
      <c r="C175" s="1516" t="s">
        <v>6828</v>
      </c>
      <c r="D175" s="1514"/>
      <c r="E175" s="1514"/>
      <c r="F175" s="1513" t="e">
        <f t="shared" si="45"/>
        <v>#DIV/0!</v>
      </c>
      <c r="G175" s="1505">
        <v>5</v>
      </c>
      <c r="H175" s="1505">
        <v>4</v>
      </c>
      <c r="I175" s="1513">
        <f t="shared" si="46"/>
        <v>0.8</v>
      </c>
      <c r="J175" s="1515">
        <f t="shared" si="47"/>
        <v>5</v>
      </c>
      <c r="K175" s="1518">
        <f t="shared" si="42"/>
        <v>4</v>
      </c>
      <c r="L175" s="1028">
        <f t="shared" si="48"/>
        <v>0.8</v>
      </c>
    </row>
    <row r="176" spans="2:12">
      <c r="B176" s="828" t="s">
        <v>6829</v>
      </c>
      <c r="C176" s="1516" t="s">
        <v>6830</v>
      </c>
      <c r="D176" s="1524"/>
      <c r="E176" s="1524"/>
      <c r="F176" s="1513" t="e">
        <f t="shared" si="45"/>
        <v>#DIV/0!</v>
      </c>
      <c r="G176" s="1505">
        <v>2</v>
      </c>
      <c r="H176" s="1505">
        <v>2</v>
      </c>
      <c r="I176" s="1513">
        <f t="shared" si="46"/>
        <v>1</v>
      </c>
      <c r="J176" s="1515">
        <f t="shared" si="47"/>
        <v>2</v>
      </c>
      <c r="K176" s="1518">
        <f t="shared" si="42"/>
        <v>2</v>
      </c>
      <c r="L176" s="1028">
        <f t="shared" si="48"/>
        <v>1</v>
      </c>
    </row>
    <row r="177" spans="2:12">
      <c r="B177" s="828" t="s">
        <v>6831</v>
      </c>
      <c r="C177" s="1516" t="s">
        <v>6832</v>
      </c>
      <c r="D177" s="1514">
        <v>2</v>
      </c>
      <c r="E177" s="1514"/>
      <c r="F177" s="1513">
        <f t="shared" si="45"/>
        <v>0</v>
      </c>
      <c r="G177" s="1505">
        <v>255</v>
      </c>
      <c r="H177" s="1505">
        <v>138</v>
      </c>
      <c r="I177" s="1513">
        <f t="shared" si="46"/>
        <v>0.54117647058823526</v>
      </c>
      <c r="J177" s="1515">
        <f t="shared" si="47"/>
        <v>257</v>
      </c>
      <c r="K177" s="1518">
        <f t="shared" si="42"/>
        <v>138</v>
      </c>
      <c r="L177" s="1028">
        <f t="shared" si="48"/>
        <v>0.53696498054474706</v>
      </c>
    </row>
    <row r="178" spans="2:12">
      <c r="B178" s="828" t="s">
        <v>6833</v>
      </c>
      <c r="C178" s="1516" t="s">
        <v>6834</v>
      </c>
      <c r="D178" s="1523"/>
      <c r="E178" s="1523"/>
      <c r="F178" s="1513" t="e">
        <f t="shared" si="45"/>
        <v>#DIV/0!</v>
      </c>
      <c r="G178" s="1505">
        <v>60</v>
      </c>
      <c r="H178" s="1505">
        <v>37</v>
      </c>
      <c r="I178" s="1513">
        <f t="shared" si="46"/>
        <v>0.6166666666666667</v>
      </c>
      <c r="J178" s="1515">
        <f t="shared" si="47"/>
        <v>60</v>
      </c>
      <c r="K178" s="1518">
        <f t="shared" si="42"/>
        <v>37</v>
      </c>
      <c r="L178" s="1028">
        <f t="shared" si="48"/>
        <v>0.6166666666666667</v>
      </c>
    </row>
    <row r="179" spans="2:12">
      <c r="B179" s="828" t="s">
        <v>6835</v>
      </c>
      <c r="C179" s="1516" t="s">
        <v>6836</v>
      </c>
      <c r="D179" s="1523"/>
      <c r="E179" s="1523"/>
      <c r="F179" s="1513" t="e">
        <f t="shared" si="45"/>
        <v>#DIV/0!</v>
      </c>
      <c r="G179" s="1505">
        <v>10</v>
      </c>
      <c r="H179" s="1505">
        <v>6</v>
      </c>
      <c r="I179" s="1513">
        <f t="shared" si="46"/>
        <v>0.6</v>
      </c>
      <c r="J179" s="1515">
        <f t="shared" si="47"/>
        <v>10</v>
      </c>
      <c r="K179" s="1518">
        <f t="shared" si="42"/>
        <v>6</v>
      </c>
      <c r="L179" s="1028">
        <f t="shared" si="48"/>
        <v>0.6</v>
      </c>
    </row>
    <row r="180" spans="2:12">
      <c r="B180" s="2280"/>
      <c r="C180" s="2280"/>
      <c r="D180" s="2280"/>
      <c r="E180" s="2280"/>
      <c r="F180" s="2280"/>
      <c r="G180" s="2280"/>
      <c r="H180" s="2280"/>
      <c r="I180" s="2280"/>
      <c r="J180" s="2280"/>
      <c r="K180" s="2280"/>
      <c r="L180" s="2280"/>
    </row>
    <row r="181" spans="2:12" ht="25.5">
      <c r="B181" s="1487"/>
      <c r="C181" s="1511" t="s">
        <v>6837</v>
      </c>
      <c r="D181" s="1512">
        <f t="shared" ref="D181:J181" si="49">SUM(D182:D192)</f>
        <v>447</v>
      </c>
      <c r="E181" s="1512">
        <f t="shared" si="49"/>
        <v>227</v>
      </c>
      <c r="F181" s="1513">
        <f>+E181/D181</f>
        <v>0.50782997762863535</v>
      </c>
      <c r="G181" s="1512">
        <f t="shared" si="49"/>
        <v>343</v>
      </c>
      <c r="H181" s="1512">
        <f t="shared" si="49"/>
        <v>145</v>
      </c>
      <c r="I181" s="1513">
        <f>+H181/G181</f>
        <v>0.42274052478134111</v>
      </c>
      <c r="J181" s="1512">
        <f t="shared" si="49"/>
        <v>790</v>
      </c>
      <c r="K181" s="860">
        <f>+E181+H181</f>
        <v>372</v>
      </c>
      <c r="L181" s="1028">
        <f>+K181/J181</f>
        <v>0.4708860759493671</v>
      </c>
    </row>
    <row r="182" spans="2:12">
      <c r="B182" s="828" t="s">
        <v>6838</v>
      </c>
      <c r="C182" s="1516" t="s">
        <v>6839</v>
      </c>
      <c r="D182" s="1523">
        <v>415</v>
      </c>
      <c r="E182" s="1523">
        <v>180</v>
      </c>
      <c r="F182" s="1513">
        <f t="shared" ref="F182:F192" si="50">+E182/D182</f>
        <v>0.43373493975903615</v>
      </c>
      <c r="G182" s="1505">
        <v>295</v>
      </c>
      <c r="H182" s="1505">
        <v>116</v>
      </c>
      <c r="I182" s="1513">
        <f t="shared" ref="I182:I192" si="51">+H182/G182</f>
        <v>0.39322033898305087</v>
      </c>
      <c r="J182" s="1515">
        <f t="shared" ref="J182:K192" si="52">+D182+G182</f>
        <v>710</v>
      </c>
      <c r="K182" s="860">
        <f t="shared" si="52"/>
        <v>296</v>
      </c>
      <c r="L182" s="1028">
        <f t="shared" ref="L182:L192" si="53">+K182/J182</f>
        <v>0.41690140845070423</v>
      </c>
    </row>
    <row r="183" spans="2:12">
      <c r="B183" s="828" t="s">
        <v>6840</v>
      </c>
      <c r="C183" s="1516" t="s">
        <v>6841</v>
      </c>
      <c r="D183" s="1523">
        <v>5</v>
      </c>
      <c r="E183" s="1523">
        <v>13</v>
      </c>
      <c r="F183" s="1513">
        <f t="shared" si="50"/>
        <v>2.6</v>
      </c>
      <c r="G183" s="1505">
        <v>5</v>
      </c>
      <c r="H183" s="1505">
        <v>4</v>
      </c>
      <c r="I183" s="1513">
        <f t="shared" si="51"/>
        <v>0.8</v>
      </c>
      <c r="J183" s="1515">
        <f t="shared" si="52"/>
        <v>10</v>
      </c>
      <c r="K183" s="860">
        <f t="shared" si="52"/>
        <v>17</v>
      </c>
      <c r="L183" s="1028">
        <f t="shared" si="53"/>
        <v>1.7</v>
      </c>
    </row>
    <row r="184" spans="2:12">
      <c r="B184" s="828" t="s">
        <v>6842</v>
      </c>
      <c r="C184" s="1516" t="s">
        <v>6843</v>
      </c>
      <c r="D184" s="1523"/>
      <c r="E184" s="1523"/>
      <c r="F184" s="1513" t="e">
        <f t="shared" si="50"/>
        <v>#DIV/0!</v>
      </c>
      <c r="G184" s="1505"/>
      <c r="H184" s="1505"/>
      <c r="I184" s="1513" t="e">
        <f t="shared" si="51"/>
        <v>#DIV/0!</v>
      </c>
      <c r="J184" s="1515">
        <f t="shared" si="52"/>
        <v>0</v>
      </c>
      <c r="K184" s="860">
        <f t="shared" si="52"/>
        <v>0</v>
      </c>
      <c r="L184" s="1028" t="e">
        <f t="shared" si="53"/>
        <v>#DIV/0!</v>
      </c>
    </row>
    <row r="185" spans="2:12">
      <c r="B185" s="828" t="s">
        <v>6844</v>
      </c>
      <c r="C185" s="1516" t="s">
        <v>6845</v>
      </c>
      <c r="D185" s="1523">
        <v>25</v>
      </c>
      <c r="E185" s="1523">
        <v>30</v>
      </c>
      <c r="F185" s="1513">
        <f t="shared" si="50"/>
        <v>1.2</v>
      </c>
      <c r="G185" s="1505">
        <v>35</v>
      </c>
      <c r="H185" s="1505">
        <v>16</v>
      </c>
      <c r="I185" s="1513">
        <f t="shared" si="51"/>
        <v>0.45714285714285713</v>
      </c>
      <c r="J185" s="1515">
        <f t="shared" si="52"/>
        <v>60</v>
      </c>
      <c r="K185" s="860">
        <f t="shared" si="52"/>
        <v>46</v>
      </c>
      <c r="L185" s="1028">
        <f t="shared" si="53"/>
        <v>0.76666666666666672</v>
      </c>
    </row>
    <row r="186" spans="2:12">
      <c r="B186" s="828" t="s">
        <v>6846</v>
      </c>
      <c r="C186" s="1516" t="s">
        <v>6847</v>
      </c>
      <c r="D186" s="1523"/>
      <c r="E186" s="1523"/>
      <c r="F186" s="1513" t="e">
        <f t="shared" si="50"/>
        <v>#DIV/0!</v>
      </c>
      <c r="G186" s="1505"/>
      <c r="H186" s="1505">
        <v>2</v>
      </c>
      <c r="I186" s="1513" t="e">
        <f t="shared" si="51"/>
        <v>#DIV/0!</v>
      </c>
      <c r="J186" s="1515">
        <f t="shared" si="52"/>
        <v>0</v>
      </c>
      <c r="K186" s="860">
        <f t="shared" si="52"/>
        <v>2</v>
      </c>
      <c r="L186" s="1028" t="e">
        <f t="shared" si="53"/>
        <v>#DIV/0!</v>
      </c>
    </row>
    <row r="187" spans="2:12" ht="25.5">
      <c r="B187" s="828" t="s">
        <v>6848</v>
      </c>
      <c r="C187" s="1516" t="s">
        <v>6849</v>
      </c>
      <c r="D187" s="1523"/>
      <c r="E187" s="1523"/>
      <c r="F187" s="1513" t="e">
        <f t="shared" si="50"/>
        <v>#DIV/0!</v>
      </c>
      <c r="G187" s="1505"/>
      <c r="H187" s="1505"/>
      <c r="I187" s="1513" t="e">
        <f t="shared" si="51"/>
        <v>#DIV/0!</v>
      </c>
      <c r="J187" s="1515">
        <f t="shared" si="52"/>
        <v>0</v>
      </c>
      <c r="K187" s="860">
        <f t="shared" si="52"/>
        <v>0</v>
      </c>
      <c r="L187" s="1028" t="e">
        <f t="shared" si="53"/>
        <v>#DIV/0!</v>
      </c>
    </row>
    <row r="188" spans="2:12">
      <c r="B188" s="828" t="s">
        <v>6850</v>
      </c>
      <c r="C188" s="1516" t="s">
        <v>6851</v>
      </c>
      <c r="D188" s="1523">
        <v>2</v>
      </c>
      <c r="E188" s="1523">
        <v>1</v>
      </c>
      <c r="F188" s="1513">
        <f t="shared" si="50"/>
        <v>0.5</v>
      </c>
      <c r="G188" s="1505">
        <v>5</v>
      </c>
      <c r="H188" s="1505">
        <v>2</v>
      </c>
      <c r="I188" s="1513">
        <f t="shared" si="51"/>
        <v>0.4</v>
      </c>
      <c r="J188" s="1515">
        <f t="shared" si="52"/>
        <v>7</v>
      </c>
      <c r="K188" s="860">
        <f t="shared" si="52"/>
        <v>3</v>
      </c>
      <c r="L188" s="1028">
        <f t="shared" si="53"/>
        <v>0.42857142857142855</v>
      </c>
    </row>
    <row r="189" spans="2:12">
      <c r="B189" s="828" t="s">
        <v>6852</v>
      </c>
      <c r="C189" s="1516" t="s">
        <v>6853</v>
      </c>
      <c r="D189" s="1523"/>
      <c r="E189" s="1523">
        <v>1</v>
      </c>
      <c r="F189" s="1513" t="e">
        <f t="shared" si="50"/>
        <v>#DIV/0!</v>
      </c>
      <c r="G189" s="1505">
        <v>2</v>
      </c>
      <c r="H189" s="1505">
        <v>4</v>
      </c>
      <c r="I189" s="1513">
        <f t="shared" si="51"/>
        <v>2</v>
      </c>
      <c r="J189" s="1515">
        <f t="shared" si="52"/>
        <v>2</v>
      </c>
      <c r="K189" s="860">
        <f t="shared" si="52"/>
        <v>5</v>
      </c>
      <c r="L189" s="1028">
        <f t="shared" si="53"/>
        <v>2.5</v>
      </c>
    </row>
    <row r="190" spans="2:12">
      <c r="B190" s="828" t="s">
        <v>6854</v>
      </c>
      <c r="C190" s="1516" t="s">
        <v>6855</v>
      </c>
      <c r="D190" s="1523"/>
      <c r="E190" s="1523"/>
      <c r="F190" s="1513" t="e">
        <f t="shared" si="50"/>
        <v>#DIV/0!</v>
      </c>
      <c r="G190" s="1505">
        <v>1</v>
      </c>
      <c r="H190" s="1505"/>
      <c r="I190" s="1513">
        <f t="shared" si="51"/>
        <v>0</v>
      </c>
      <c r="J190" s="1515">
        <f t="shared" si="52"/>
        <v>1</v>
      </c>
      <c r="K190" s="860">
        <f t="shared" si="52"/>
        <v>0</v>
      </c>
      <c r="L190" s="1028">
        <f t="shared" si="53"/>
        <v>0</v>
      </c>
    </row>
    <row r="191" spans="2:12">
      <c r="B191" s="828" t="s">
        <v>6856</v>
      </c>
      <c r="C191" s="1516" t="s">
        <v>6857</v>
      </c>
      <c r="D191" s="1523"/>
      <c r="E191" s="1523">
        <v>1</v>
      </c>
      <c r="F191" s="1513" t="e">
        <f t="shared" si="50"/>
        <v>#DIV/0!</v>
      </c>
      <c r="G191" s="1505"/>
      <c r="H191" s="1505">
        <v>1</v>
      </c>
      <c r="I191" s="1513" t="e">
        <f t="shared" si="51"/>
        <v>#DIV/0!</v>
      </c>
      <c r="J191" s="1515">
        <f t="shared" si="52"/>
        <v>0</v>
      </c>
      <c r="K191" s="860">
        <f t="shared" si="52"/>
        <v>2</v>
      </c>
      <c r="L191" s="1028" t="e">
        <f t="shared" si="53"/>
        <v>#DIV/0!</v>
      </c>
    </row>
    <row r="192" spans="2:12">
      <c r="B192" s="828" t="s">
        <v>6858</v>
      </c>
      <c r="C192" s="1516" t="s">
        <v>6859</v>
      </c>
      <c r="D192" s="1523"/>
      <c r="E192" s="1523">
        <v>1</v>
      </c>
      <c r="F192" s="1513" t="e">
        <f t="shared" si="50"/>
        <v>#DIV/0!</v>
      </c>
      <c r="G192" s="1505"/>
      <c r="H192" s="1505"/>
      <c r="I192" s="1513" t="e">
        <f t="shared" si="51"/>
        <v>#DIV/0!</v>
      </c>
      <c r="J192" s="1515">
        <f t="shared" si="52"/>
        <v>0</v>
      </c>
      <c r="K192" s="860">
        <f t="shared" si="52"/>
        <v>1</v>
      </c>
      <c r="L192" s="1028" t="e">
        <f t="shared" si="53"/>
        <v>#DIV/0!</v>
      </c>
    </row>
    <row r="193" spans="2:12">
      <c r="B193" s="2270"/>
      <c r="C193" s="2271"/>
      <c r="D193" s="2271"/>
      <c r="E193" s="2271"/>
      <c r="F193" s="2271"/>
      <c r="G193" s="2271"/>
      <c r="H193" s="2271"/>
      <c r="I193" s="2271"/>
      <c r="J193" s="2271"/>
      <c r="K193" s="2271"/>
      <c r="L193" s="2272"/>
    </row>
    <row r="194" spans="2:12" ht="25.5">
      <c r="B194" s="1487"/>
      <c r="C194" s="1511" t="s">
        <v>6860</v>
      </c>
      <c r="D194" s="1512">
        <f t="shared" ref="D194:J194" si="54">SUM(D195:D204)</f>
        <v>20</v>
      </c>
      <c r="E194" s="1512">
        <f t="shared" si="54"/>
        <v>6</v>
      </c>
      <c r="F194" s="1513">
        <f>+E194/D194</f>
        <v>0.3</v>
      </c>
      <c r="G194" s="1512">
        <f t="shared" si="54"/>
        <v>310</v>
      </c>
      <c r="H194" s="1512">
        <f t="shared" si="54"/>
        <v>136</v>
      </c>
      <c r="I194" s="1513">
        <f>+H194/G194</f>
        <v>0.43870967741935485</v>
      </c>
      <c r="J194" s="1512">
        <f t="shared" si="54"/>
        <v>330</v>
      </c>
      <c r="K194" s="860">
        <f>+E194+H194</f>
        <v>142</v>
      </c>
      <c r="L194" s="1028">
        <f>+K194/J194</f>
        <v>0.4303030303030303</v>
      </c>
    </row>
    <row r="195" spans="2:12">
      <c r="B195" s="828" t="s">
        <v>6861</v>
      </c>
      <c r="C195" s="1516" t="s">
        <v>6862</v>
      </c>
      <c r="D195" s="1523">
        <v>2</v>
      </c>
      <c r="E195" s="1523"/>
      <c r="F195" s="1513">
        <f t="shared" ref="F195:F204" si="55">+E195/D195</f>
        <v>0</v>
      </c>
      <c r="G195" s="1505">
        <v>2</v>
      </c>
      <c r="H195" s="1505"/>
      <c r="I195" s="1513">
        <f t="shared" ref="I195:I204" si="56">+H195/G195</f>
        <v>0</v>
      </c>
      <c r="J195" s="1515">
        <f t="shared" ref="J195:K204" si="57">+D195+G195</f>
        <v>4</v>
      </c>
      <c r="K195" s="860">
        <f t="shared" si="57"/>
        <v>0</v>
      </c>
      <c r="L195" s="1028">
        <f t="shared" ref="L195:L204" si="58">+K195/J195</f>
        <v>0</v>
      </c>
    </row>
    <row r="196" spans="2:12">
      <c r="B196" s="828" t="s">
        <v>6863</v>
      </c>
      <c r="C196" s="1516" t="s">
        <v>6864</v>
      </c>
      <c r="D196" s="1523"/>
      <c r="E196" s="1523"/>
      <c r="F196" s="1513" t="e">
        <f t="shared" si="55"/>
        <v>#DIV/0!</v>
      </c>
      <c r="G196" s="1505">
        <v>1</v>
      </c>
      <c r="H196" s="1505"/>
      <c r="I196" s="1513">
        <f t="shared" si="56"/>
        <v>0</v>
      </c>
      <c r="J196" s="1515">
        <f t="shared" si="57"/>
        <v>1</v>
      </c>
      <c r="K196" s="860">
        <f t="shared" si="57"/>
        <v>0</v>
      </c>
      <c r="L196" s="1028">
        <f t="shared" si="58"/>
        <v>0</v>
      </c>
    </row>
    <row r="197" spans="2:12">
      <c r="B197" s="828" t="s">
        <v>6865</v>
      </c>
      <c r="C197" s="1516" t="s">
        <v>6866</v>
      </c>
      <c r="D197" s="1523">
        <v>2</v>
      </c>
      <c r="E197" s="1523"/>
      <c r="F197" s="1513">
        <f t="shared" si="55"/>
        <v>0</v>
      </c>
      <c r="G197" s="1505">
        <v>2</v>
      </c>
      <c r="H197" s="1505">
        <v>2</v>
      </c>
      <c r="I197" s="1513">
        <f t="shared" si="56"/>
        <v>1</v>
      </c>
      <c r="J197" s="1515">
        <f t="shared" si="57"/>
        <v>4</v>
      </c>
      <c r="K197" s="860">
        <f t="shared" si="57"/>
        <v>2</v>
      </c>
      <c r="L197" s="1028">
        <f t="shared" si="58"/>
        <v>0.5</v>
      </c>
    </row>
    <row r="198" spans="2:12">
      <c r="B198" s="828" t="s">
        <v>6867</v>
      </c>
      <c r="C198" s="1516" t="s">
        <v>6868</v>
      </c>
      <c r="D198" s="1523"/>
      <c r="E198" s="1523"/>
      <c r="F198" s="1513" t="e">
        <f t="shared" si="55"/>
        <v>#DIV/0!</v>
      </c>
      <c r="G198" s="1505">
        <v>10</v>
      </c>
      <c r="H198" s="1505">
        <v>6</v>
      </c>
      <c r="I198" s="1513">
        <f t="shared" si="56"/>
        <v>0.6</v>
      </c>
      <c r="J198" s="1515">
        <f t="shared" si="57"/>
        <v>10</v>
      </c>
      <c r="K198" s="860">
        <f t="shared" si="57"/>
        <v>6</v>
      </c>
      <c r="L198" s="1028">
        <f t="shared" si="58"/>
        <v>0.6</v>
      </c>
    </row>
    <row r="199" spans="2:12">
      <c r="B199" s="828" t="s">
        <v>6869</v>
      </c>
      <c r="C199" s="1516" t="s">
        <v>6870</v>
      </c>
      <c r="D199" s="1523">
        <v>2</v>
      </c>
      <c r="E199" s="1523"/>
      <c r="F199" s="1513">
        <f t="shared" si="55"/>
        <v>0</v>
      </c>
      <c r="G199" s="1505">
        <v>60</v>
      </c>
      <c r="H199" s="1505">
        <v>27</v>
      </c>
      <c r="I199" s="1513">
        <f t="shared" si="56"/>
        <v>0.45</v>
      </c>
      <c r="J199" s="1515">
        <f t="shared" si="57"/>
        <v>62</v>
      </c>
      <c r="K199" s="860">
        <f t="shared" si="57"/>
        <v>27</v>
      </c>
      <c r="L199" s="1028">
        <f t="shared" si="58"/>
        <v>0.43548387096774194</v>
      </c>
    </row>
    <row r="200" spans="2:12">
      <c r="B200" s="828" t="s">
        <v>6871</v>
      </c>
      <c r="C200" s="1516" t="s">
        <v>6872</v>
      </c>
      <c r="D200" s="1523">
        <v>2</v>
      </c>
      <c r="E200" s="1523">
        <v>2</v>
      </c>
      <c r="F200" s="1513">
        <f t="shared" si="55"/>
        <v>1</v>
      </c>
      <c r="G200" s="1505">
        <v>120</v>
      </c>
      <c r="H200" s="1505">
        <v>50</v>
      </c>
      <c r="I200" s="1513">
        <f t="shared" si="56"/>
        <v>0.41666666666666669</v>
      </c>
      <c r="J200" s="1515">
        <f t="shared" si="57"/>
        <v>122</v>
      </c>
      <c r="K200" s="860">
        <f t="shared" si="57"/>
        <v>52</v>
      </c>
      <c r="L200" s="1028">
        <f t="shared" si="58"/>
        <v>0.42622950819672129</v>
      </c>
    </row>
    <row r="201" spans="2:12">
      <c r="B201" s="828" t="s">
        <v>6873</v>
      </c>
      <c r="C201" s="1516" t="s">
        <v>6874</v>
      </c>
      <c r="D201" s="1523"/>
      <c r="E201" s="1523"/>
      <c r="F201" s="1513" t="e">
        <f t="shared" si="55"/>
        <v>#DIV/0!</v>
      </c>
      <c r="G201" s="1505">
        <v>10</v>
      </c>
      <c r="H201" s="1505">
        <v>14</v>
      </c>
      <c r="I201" s="1513">
        <f t="shared" si="56"/>
        <v>1.4</v>
      </c>
      <c r="J201" s="1515">
        <f t="shared" si="57"/>
        <v>10</v>
      </c>
      <c r="K201" s="860">
        <f t="shared" si="57"/>
        <v>14</v>
      </c>
      <c r="L201" s="1028">
        <f t="shared" si="58"/>
        <v>1.4</v>
      </c>
    </row>
    <row r="202" spans="2:12">
      <c r="B202" s="828" t="s">
        <v>6875</v>
      </c>
      <c r="C202" s="1516" t="s">
        <v>6876</v>
      </c>
      <c r="D202" s="1523">
        <v>10</v>
      </c>
      <c r="E202" s="1523">
        <v>4</v>
      </c>
      <c r="F202" s="1513">
        <f t="shared" si="55"/>
        <v>0.4</v>
      </c>
      <c r="G202" s="1505">
        <v>75</v>
      </c>
      <c r="H202" s="1505">
        <v>21</v>
      </c>
      <c r="I202" s="1513">
        <f t="shared" si="56"/>
        <v>0.28000000000000003</v>
      </c>
      <c r="J202" s="1515">
        <f t="shared" si="57"/>
        <v>85</v>
      </c>
      <c r="K202" s="860">
        <f t="shared" si="57"/>
        <v>25</v>
      </c>
      <c r="L202" s="1028">
        <f t="shared" si="58"/>
        <v>0.29411764705882354</v>
      </c>
    </row>
    <row r="203" spans="2:12">
      <c r="B203" s="828" t="s">
        <v>6877</v>
      </c>
      <c r="C203" s="1516" t="s">
        <v>6878</v>
      </c>
      <c r="D203" s="1523">
        <v>2</v>
      </c>
      <c r="E203" s="1523"/>
      <c r="F203" s="1513">
        <f t="shared" si="55"/>
        <v>0</v>
      </c>
      <c r="G203" s="1505">
        <v>10</v>
      </c>
      <c r="H203" s="1505">
        <v>11</v>
      </c>
      <c r="I203" s="1513">
        <f t="shared" si="56"/>
        <v>1.1000000000000001</v>
      </c>
      <c r="J203" s="1515">
        <f t="shared" si="57"/>
        <v>12</v>
      </c>
      <c r="K203" s="860">
        <f t="shared" si="57"/>
        <v>11</v>
      </c>
      <c r="L203" s="1028">
        <f t="shared" si="58"/>
        <v>0.91666666666666663</v>
      </c>
    </row>
    <row r="204" spans="2:12">
      <c r="B204" s="828" t="s">
        <v>6879</v>
      </c>
      <c r="C204" s="1516" t="s">
        <v>6880</v>
      </c>
      <c r="D204" s="1523"/>
      <c r="E204" s="1523"/>
      <c r="F204" s="1513" t="e">
        <f t="shared" si="55"/>
        <v>#DIV/0!</v>
      </c>
      <c r="G204" s="1505">
        <v>20</v>
      </c>
      <c r="H204" s="1505">
        <v>5</v>
      </c>
      <c r="I204" s="1513">
        <f t="shared" si="56"/>
        <v>0.25</v>
      </c>
      <c r="J204" s="1515">
        <f t="shared" si="57"/>
        <v>20</v>
      </c>
      <c r="K204" s="860">
        <f t="shared" si="57"/>
        <v>5</v>
      </c>
      <c r="L204" s="1028">
        <f t="shared" si="58"/>
        <v>0.25</v>
      </c>
    </row>
    <row r="205" spans="2:12">
      <c r="B205" s="2273"/>
      <c r="C205" s="2274"/>
      <c r="D205" s="2274"/>
      <c r="E205" s="2274"/>
      <c r="F205" s="2274"/>
      <c r="G205" s="2274"/>
      <c r="H205" s="2274"/>
      <c r="I205" s="2274"/>
      <c r="J205" s="2274"/>
      <c r="K205" s="2274"/>
      <c r="L205" s="2275"/>
    </row>
    <row r="206" spans="2:12" ht="25.5">
      <c r="B206" s="1487"/>
      <c r="C206" s="1511" t="s">
        <v>6881</v>
      </c>
      <c r="D206" s="1512">
        <f t="shared" ref="D206:J206" si="59">SUM(D207:D219)</f>
        <v>304</v>
      </c>
      <c r="E206" s="1512">
        <f t="shared" si="59"/>
        <v>123</v>
      </c>
      <c r="F206" s="1513">
        <f>+E206/D206</f>
        <v>0.40460526315789475</v>
      </c>
      <c r="G206" s="1512">
        <f t="shared" si="59"/>
        <v>897</v>
      </c>
      <c r="H206" s="1512">
        <f t="shared" si="59"/>
        <v>474</v>
      </c>
      <c r="I206" s="1513">
        <f>+H206/G206</f>
        <v>0.52842809364548493</v>
      </c>
      <c r="J206" s="1512">
        <f t="shared" si="59"/>
        <v>1201</v>
      </c>
      <c r="K206" s="1512">
        <f>+E206+H206</f>
        <v>597</v>
      </c>
      <c r="L206" s="1028">
        <f>+K206/J206</f>
        <v>0.49708576186511239</v>
      </c>
    </row>
    <row r="207" spans="2:12">
      <c r="B207" s="828" t="s">
        <v>6882</v>
      </c>
      <c r="C207" s="1516" t="s">
        <v>6883</v>
      </c>
      <c r="D207" s="1523"/>
      <c r="E207" s="1523">
        <v>3</v>
      </c>
      <c r="F207" s="1513" t="e">
        <f t="shared" ref="F207:F219" si="60">+E207/D207</f>
        <v>#DIV/0!</v>
      </c>
      <c r="G207" s="1505">
        <v>5</v>
      </c>
      <c r="H207" s="1505">
        <v>5</v>
      </c>
      <c r="I207" s="1513">
        <f t="shared" ref="I207:I219" si="61">+H207/G207</f>
        <v>1</v>
      </c>
      <c r="J207" s="1515">
        <f t="shared" ref="J207:K219" si="62">+D207+G207</f>
        <v>5</v>
      </c>
      <c r="K207" s="1512">
        <f t="shared" si="62"/>
        <v>8</v>
      </c>
      <c r="L207" s="1028">
        <f t="shared" ref="L207:L219" si="63">+K207/J207</f>
        <v>1.6</v>
      </c>
    </row>
    <row r="208" spans="2:12">
      <c r="B208" s="828" t="s">
        <v>6884</v>
      </c>
      <c r="C208" s="1516" t="s">
        <v>6885</v>
      </c>
      <c r="D208" s="1523">
        <v>2</v>
      </c>
      <c r="E208" s="1523">
        <v>1</v>
      </c>
      <c r="F208" s="1513">
        <f t="shared" si="60"/>
        <v>0.5</v>
      </c>
      <c r="G208" s="1505">
        <v>15</v>
      </c>
      <c r="H208" s="1505">
        <v>8</v>
      </c>
      <c r="I208" s="1513">
        <f t="shared" si="61"/>
        <v>0.53333333333333333</v>
      </c>
      <c r="J208" s="1515">
        <f t="shared" si="62"/>
        <v>17</v>
      </c>
      <c r="K208" s="1512">
        <f t="shared" si="62"/>
        <v>9</v>
      </c>
      <c r="L208" s="1028">
        <f t="shared" si="63"/>
        <v>0.52941176470588236</v>
      </c>
    </row>
    <row r="209" spans="2:12">
      <c r="B209" s="828" t="s">
        <v>6886</v>
      </c>
      <c r="C209" s="1516" t="s">
        <v>6887</v>
      </c>
      <c r="D209" s="1523">
        <v>150</v>
      </c>
      <c r="E209" s="1523">
        <v>57</v>
      </c>
      <c r="F209" s="1513">
        <f t="shared" si="60"/>
        <v>0.38</v>
      </c>
      <c r="G209" s="1505">
        <v>95</v>
      </c>
      <c r="H209" s="1505">
        <v>59</v>
      </c>
      <c r="I209" s="1513">
        <f t="shared" si="61"/>
        <v>0.62105263157894741</v>
      </c>
      <c r="J209" s="1515">
        <f t="shared" si="62"/>
        <v>245</v>
      </c>
      <c r="K209" s="1512">
        <f t="shared" si="62"/>
        <v>116</v>
      </c>
      <c r="L209" s="1028">
        <f t="shared" si="63"/>
        <v>0.47346938775510206</v>
      </c>
    </row>
    <row r="210" spans="2:12">
      <c r="B210" s="828" t="s">
        <v>6888</v>
      </c>
      <c r="C210" s="1516" t="s">
        <v>6889</v>
      </c>
      <c r="D210" s="1523">
        <v>25</v>
      </c>
      <c r="E210" s="1523">
        <v>5</v>
      </c>
      <c r="F210" s="1513">
        <f t="shared" si="60"/>
        <v>0.2</v>
      </c>
      <c r="G210" s="1505">
        <v>20</v>
      </c>
      <c r="H210" s="1505">
        <v>13</v>
      </c>
      <c r="I210" s="1513">
        <f t="shared" si="61"/>
        <v>0.65</v>
      </c>
      <c r="J210" s="1515">
        <f t="shared" si="62"/>
        <v>45</v>
      </c>
      <c r="K210" s="1512">
        <f t="shared" si="62"/>
        <v>18</v>
      </c>
      <c r="L210" s="1028">
        <f t="shared" si="63"/>
        <v>0.4</v>
      </c>
    </row>
    <row r="211" spans="2:12">
      <c r="B211" s="828" t="s">
        <v>279</v>
      </c>
      <c r="C211" s="1516" t="s">
        <v>6890</v>
      </c>
      <c r="D211" s="1523">
        <v>1</v>
      </c>
      <c r="E211" s="1523"/>
      <c r="F211" s="1513">
        <f t="shared" si="60"/>
        <v>0</v>
      </c>
      <c r="G211" s="1505">
        <v>45</v>
      </c>
      <c r="H211" s="1505">
        <v>32</v>
      </c>
      <c r="I211" s="1513">
        <f t="shared" si="61"/>
        <v>0.71111111111111114</v>
      </c>
      <c r="J211" s="1515">
        <f t="shared" si="62"/>
        <v>46</v>
      </c>
      <c r="K211" s="1512">
        <f t="shared" si="62"/>
        <v>32</v>
      </c>
      <c r="L211" s="1028">
        <f t="shared" si="63"/>
        <v>0.69565217391304346</v>
      </c>
    </row>
    <row r="212" spans="2:12">
      <c r="B212" s="828" t="s">
        <v>6891</v>
      </c>
      <c r="C212" s="1516" t="s">
        <v>6892</v>
      </c>
      <c r="D212" s="1523">
        <v>125</v>
      </c>
      <c r="E212" s="1523">
        <v>57</v>
      </c>
      <c r="F212" s="1513">
        <f t="shared" si="60"/>
        <v>0.45600000000000002</v>
      </c>
      <c r="G212" s="1505">
        <v>520</v>
      </c>
      <c r="H212" s="1505">
        <v>274</v>
      </c>
      <c r="I212" s="1513">
        <f t="shared" si="61"/>
        <v>0.52692307692307694</v>
      </c>
      <c r="J212" s="1515">
        <f t="shared" si="62"/>
        <v>645</v>
      </c>
      <c r="K212" s="1512">
        <f t="shared" si="62"/>
        <v>331</v>
      </c>
      <c r="L212" s="1028">
        <f t="shared" si="63"/>
        <v>0.51317829457364339</v>
      </c>
    </row>
    <row r="213" spans="2:12">
      <c r="B213" s="828" t="s">
        <v>6893</v>
      </c>
      <c r="C213" s="1516" t="s">
        <v>6894</v>
      </c>
      <c r="D213" s="1523"/>
      <c r="E213" s="1523"/>
      <c r="F213" s="1513" t="e">
        <f t="shared" si="60"/>
        <v>#DIV/0!</v>
      </c>
      <c r="G213" s="1505">
        <v>20</v>
      </c>
      <c r="H213" s="1505">
        <v>20</v>
      </c>
      <c r="I213" s="1513">
        <f t="shared" si="61"/>
        <v>1</v>
      </c>
      <c r="J213" s="1515">
        <f t="shared" si="62"/>
        <v>20</v>
      </c>
      <c r="K213" s="1512">
        <f t="shared" si="62"/>
        <v>20</v>
      </c>
      <c r="L213" s="1028">
        <f t="shared" si="63"/>
        <v>1</v>
      </c>
    </row>
    <row r="214" spans="2:12">
      <c r="B214" s="828" t="s">
        <v>6895</v>
      </c>
      <c r="C214" s="1516" t="s">
        <v>6896</v>
      </c>
      <c r="D214" s="1523"/>
      <c r="E214" s="1523"/>
      <c r="F214" s="1513" t="e">
        <f t="shared" si="60"/>
        <v>#DIV/0!</v>
      </c>
      <c r="G214" s="1505">
        <v>10</v>
      </c>
      <c r="H214" s="1505">
        <v>1</v>
      </c>
      <c r="I214" s="1513">
        <f t="shared" si="61"/>
        <v>0.1</v>
      </c>
      <c r="J214" s="1515">
        <f t="shared" si="62"/>
        <v>10</v>
      </c>
      <c r="K214" s="1512">
        <f t="shared" si="62"/>
        <v>1</v>
      </c>
      <c r="L214" s="1028">
        <f t="shared" si="63"/>
        <v>0.1</v>
      </c>
    </row>
    <row r="215" spans="2:12" ht="25.5">
      <c r="B215" s="828" t="s">
        <v>6897</v>
      </c>
      <c r="C215" s="1516" t="s">
        <v>6898</v>
      </c>
      <c r="D215" s="1523"/>
      <c r="E215" s="1523"/>
      <c r="F215" s="1513" t="e">
        <f t="shared" si="60"/>
        <v>#DIV/0!</v>
      </c>
      <c r="G215" s="1505">
        <v>10</v>
      </c>
      <c r="H215" s="1505">
        <v>3</v>
      </c>
      <c r="I215" s="1513">
        <f t="shared" si="61"/>
        <v>0.3</v>
      </c>
      <c r="J215" s="1515">
        <f t="shared" si="62"/>
        <v>10</v>
      </c>
      <c r="K215" s="1512">
        <f t="shared" si="62"/>
        <v>3</v>
      </c>
      <c r="L215" s="1028">
        <f t="shared" si="63"/>
        <v>0.3</v>
      </c>
    </row>
    <row r="216" spans="2:12">
      <c r="B216" s="828" t="s">
        <v>6899</v>
      </c>
      <c r="C216" s="1516" t="s">
        <v>6900</v>
      </c>
      <c r="D216" s="1523"/>
      <c r="E216" s="1523"/>
      <c r="F216" s="1513" t="e">
        <f t="shared" si="60"/>
        <v>#DIV/0!</v>
      </c>
      <c r="G216" s="1505">
        <v>60</v>
      </c>
      <c r="H216" s="1505">
        <v>11</v>
      </c>
      <c r="I216" s="1513">
        <f t="shared" si="61"/>
        <v>0.18333333333333332</v>
      </c>
      <c r="J216" s="1515">
        <f t="shared" si="62"/>
        <v>60</v>
      </c>
      <c r="K216" s="1512">
        <f t="shared" si="62"/>
        <v>11</v>
      </c>
      <c r="L216" s="1028">
        <f t="shared" si="63"/>
        <v>0.18333333333333332</v>
      </c>
    </row>
    <row r="217" spans="2:12">
      <c r="B217" s="828" t="s">
        <v>6901</v>
      </c>
      <c r="C217" s="1516" t="s">
        <v>6902</v>
      </c>
      <c r="D217" s="1523">
        <v>1</v>
      </c>
      <c r="E217" s="1523"/>
      <c r="F217" s="1513">
        <f t="shared" si="60"/>
        <v>0</v>
      </c>
      <c r="G217" s="1505">
        <v>65</v>
      </c>
      <c r="H217" s="1505">
        <v>32</v>
      </c>
      <c r="I217" s="1513">
        <f t="shared" si="61"/>
        <v>0.49230769230769234</v>
      </c>
      <c r="J217" s="1515">
        <f t="shared" si="62"/>
        <v>66</v>
      </c>
      <c r="K217" s="1512">
        <f t="shared" si="62"/>
        <v>32</v>
      </c>
      <c r="L217" s="1028">
        <f t="shared" si="63"/>
        <v>0.48484848484848486</v>
      </c>
    </row>
    <row r="218" spans="2:12">
      <c r="B218" s="828" t="s">
        <v>6903</v>
      </c>
      <c r="C218" s="1516" t="s">
        <v>6904</v>
      </c>
      <c r="D218" s="1523"/>
      <c r="E218" s="1523"/>
      <c r="F218" s="1513" t="e">
        <f t="shared" si="60"/>
        <v>#DIV/0!</v>
      </c>
      <c r="G218" s="1505">
        <v>2</v>
      </c>
      <c r="H218" s="1505">
        <v>2</v>
      </c>
      <c r="I218" s="1513">
        <f t="shared" si="61"/>
        <v>1</v>
      </c>
      <c r="J218" s="1515">
        <f t="shared" si="62"/>
        <v>2</v>
      </c>
      <c r="K218" s="1512">
        <f t="shared" si="62"/>
        <v>2</v>
      </c>
      <c r="L218" s="1028">
        <f t="shared" si="63"/>
        <v>1</v>
      </c>
    </row>
    <row r="219" spans="2:12">
      <c r="B219" s="828" t="s">
        <v>6905</v>
      </c>
      <c r="C219" s="1516" t="s">
        <v>6906</v>
      </c>
      <c r="D219" s="1523"/>
      <c r="E219" s="1523"/>
      <c r="F219" s="1513" t="e">
        <f t="shared" si="60"/>
        <v>#DIV/0!</v>
      </c>
      <c r="G219" s="1505">
        <v>30</v>
      </c>
      <c r="H219" s="1505">
        <v>14</v>
      </c>
      <c r="I219" s="1513">
        <f t="shared" si="61"/>
        <v>0.46666666666666667</v>
      </c>
      <c r="J219" s="1515">
        <f t="shared" si="62"/>
        <v>30</v>
      </c>
      <c r="K219" s="1512">
        <f t="shared" si="62"/>
        <v>14</v>
      </c>
      <c r="L219" s="1028">
        <f t="shared" si="63"/>
        <v>0.46666666666666667</v>
      </c>
    </row>
    <row r="220" spans="2:12">
      <c r="B220" s="2276"/>
      <c r="C220" s="2277"/>
      <c r="D220" s="2277"/>
      <c r="E220" s="2277"/>
      <c r="F220" s="2277"/>
      <c r="G220" s="2277"/>
      <c r="H220" s="2277"/>
      <c r="I220" s="2277"/>
      <c r="J220" s="2277"/>
      <c r="K220" s="2277"/>
      <c r="L220" s="2278"/>
    </row>
    <row r="221" spans="2:12">
      <c r="B221" s="1506"/>
      <c r="C221" s="1511" t="s">
        <v>6907</v>
      </c>
      <c r="D221" s="1512">
        <f t="shared" ref="D221:J221" si="64">SUM(D222:D223)</f>
        <v>0</v>
      </c>
      <c r="E221" s="1512">
        <f t="shared" si="64"/>
        <v>0</v>
      </c>
      <c r="F221" s="1513" t="e">
        <f>+E221/D221</f>
        <v>#DIV/0!</v>
      </c>
      <c r="G221" s="1512">
        <f t="shared" si="64"/>
        <v>36</v>
      </c>
      <c r="H221" s="1512">
        <f t="shared" si="64"/>
        <v>22</v>
      </c>
      <c r="I221" s="1513">
        <f>+H221/G221</f>
        <v>0.61111111111111116</v>
      </c>
      <c r="J221" s="1512">
        <f t="shared" si="64"/>
        <v>36</v>
      </c>
      <c r="K221" s="860">
        <f>+E221+H221</f>
        <v>22</v>
      </c>
      <c r="L221" s="1028">
        <f>+K221/J221</f>
        <v>0.61111111111111116</v>
      </c>
    </row>
    <row r="222" spans="2:12" ht="25.5">
      <c r="B222" s="828" t="s">
        <v>6908</v>
      </c>
      <c r="C222" s="1516" t="s">
        <v>6909</v>
      </c>
      <c r="D222" s="1523"/>
      <c r="E222" s="1523"/>
      <c r="F222" s="1513" t="e">
        <f t="shared" ref="F222:F223" si="65">+E222/D222</f>
        <v>#DIV/0!</v>
      </c>
      <c r="G222" s="1505">
        <v>35</v>
      </c>
      <c r="H222" s="1505">
        <v>20</v>
      </c>
      <c r="I222" s="1513">
        <f t="shared" ref="I222:I223" si="66">+H222/G222</f>
        <v>0.5714285714285714</v>
      </c>
      <c r="J222" s="1515">
        <f>+D222+G222</f>
        <v>35</v>
      </c>
      <c r="K222" s="860">
        <f t="shared" ref="K222:K223" si="67">+E222+H222</f>
        <v>20</v>
      </c>
      <c r="L222" s="1028">
        <f t="shared" ref="L222:L223" si="68">+K222/J222</f>
        <v>0.5714285714285714</v>
      </c>
    </row>
    <row r="223" spans="2:12">
      <c r="B223" s="828" t="s">
        <v>6910</v>
      </c>
      <c r="C223" s="1516" t="s">
        <v>6911</v>
      </c>
      <c r="D223" s="1523"/>
      <c r="E223" s="1523"/>
      <c r="F223" s="1513" t="e">
        <f t="shared" si="65"/>
        <v>#DIV/0!</v>
      </c>
      <c r="G223" s="1505">
        <v>1</v>
      </c>
      <c r="H223" s="1505">
        <v>2</v>
      </c>
      <c r="I223" s="1513">
        <f t="shared" si="66"/>
        <v>2</v>
      </c>
      <c r="J223" s="1515">
        <f>+D223+G223</f>
        <v>1</v>
      </c>
      <c r="K223" s="860">
        <f t="shared" si="67"/>
        <v>2</v>
      </c>
      <c r="L223" s="1028">
        <f t="shared" si="68"/>
        <v>2</v>
      </c>
    </row>
    <row r="224" spans="2:12">
      <c r="B224" s="1525"/>
      <c r="C224" s="2277"/>
      <c r="D224" s="2277"/>
      <c r="E224" s="2277"/>
      <c r="F224" s="2277"/>
      <c r="G224" s="2277"/>
      <c r="H224" s="2277"/>
      <c r="I224" s="2277"/>
      <c r="J224" s="2277"/>
      <c r="K224" s="2277"/>
      <c r="L224" s="2278"/>
    </row>
    <row r="225" spans="2:12">
      <c r="B225" s="1506"/>
      <c r="C225" s="1511" t="s">
        <v>6912</v>
      </c>
      <c r="D225" s="1512">
        <f t="shared" ref="D225:J225" si="69">SUM(D226:D231)</f>
        <v>520</v>
      </c>
      <c r="E225" s="1512">
        <f t="shared" si="69"/>
        <v>267</v>
      </c>
      <c r="F225" s="1513">
        <f>+E225/D225</f>
        <v>0.51346153846153841</v>
      </c>
      <c r="G225" s="1512">
        <f t="shared" si="69"/>
        <v>299</v>
      </c>
      <c r="H225" s="1512">
        <f t="shared" si="69"/>
        <v>127</v>
      </c>
      <c r="I225" s="1513">
        <f>+H225/G225</f>
        <v>0.42474916387959866</v>
      </c>
      <c r="J225" s="1512">
        <f t="shared" si="69"/>
        <v>819</v>
      </c>
      <c r="K225" s="1512">
        <f>+E225+H225</f>
        <v>394</v>
      </c>
      <c r="L225" s="1217">
        <f>+K225/J225</f>
        <v>0.48107448107448109</v>
      </c>
    </row>
    <row r="226" spans="2:12">
      <c r="B226" s="828" t="s">
        <v>6913</v>
      </c>
      <c r="C226" s="1516" t="s">
        <v>6914</v>
      </c>
      <c r="D226" s="1523">
        <v>155</v>
      </c>
      <c r="E226" s="1523">
        <v>48</v>
      </c>
      <c r="F226" s="1513">
        <f t="shared" ref="F226:F231" si="70">+E226/D226</f>
        <v>0.30967741935483872</v>
      </c>
      <c r="G226" s="1505">
        <v>40</v>
      </c>
      <c r="H226" s="1505">
        <v>3</v>
      </c>
      <c r="I226" s="1513">
        <f t="shared" ref="I226:I231" si="71">+H226/G226</f>
        <v>7.4999999999999997E-2</v>
      </c>
      <c r="J226" s="1515">
        <f t="shared" ref="J226:K231" si="72">+D226+G226</f>
        <v>195</v>
      </c>
      <c r="K226" s="1512">
        <f t="shared" si="72"/>
        <v>51</v>
      </c>
      <c r="L226" s="1217">
        <f t="shared" ref="L226:L231" si="73">+K226/J226</f>
        <v>0.26153846153846155</v>
      </c>
    </row>
    <row r="227" spans="2:12" ht="25.5">
      <c r="B227" s="828" t="s">
        <v>6915</v>
      </c>
      <c r="C227" s="1516" t="s">
        <v>6916</v>
      </c>
      <c r="D227" s="1523">
        <v>145</v>
      </c>
      <c r="E227" s="1523">
        <v>91</v>
      </c>
      <c r="F227" s="1513">
        <f t="shared" si="70"/>
        <v>0.62758620689655176</v>
      </c>
      <c r="G227" s="1505">
        <v>5</v>
      </c>
      <c r="H227" s="1505"/>
      <c r="I227" s="1513">
        <f t="shared" si="71"/>
        <v>0</v>
      </c>
      <c r="J227" s="1515">
        <f t="shared" si="72"/>
        <v>150</v>
      </c>
      <c r="K227" s="1512">
        <f t="shared" si="72"/>
        <v>91</v>
      </c>
      <c r="L227" s="1217">
        <f t="shared" si="73"/>
        <v>0.60666666666666669</v>
      </c>
    </row>
    <row r="228" spans="2:12">
      <c r="B228" s="828" t="s">
        <v>6917</v>
      </c>
      <c r="C228" s="1516" t="s">
        <v>6918</v>
      </c>
      <c r="D228" s="1523">
        <v>95</v>
      </c>
      <c r="E228" s="1523">
        <v>58</v>
      </c>
      <c r="F228" s="1513">
        <f t="shared" si="70"/>
        <v>0.61052631578947369</v>
      </c>
      <c r="G228" s="1505">
        <v>110</v>
      </c>
      <c r="H228" s="1505">
        <v>51</v>
      </c>
      <c r="I228" s="1513">
        <f t="shared" si="71"/>
        <v>0.46363636363636362</v>
      </c>
      <c r="J228" s="1515">
        <f t="shared" si="72"/>
        <v>205</v>
      </c>
      <c r="K228" s="1512">
        <f t="shared" si="72"/>
        <v>109</v>
      </c>
      <c r="L228" s="1217">
        <f t="shared" si="73"/>
        <v>0.53170731707317076</v>
      </c>
    </row>
    <row r="229" spans="2:12">
      <c r="B229" s="828" t="s">
        <v>6919</v>
      </c>
      <c r="C229" s="1516" t="s">
        <v>6920</v>
      </c>
      <c r="D229" s="1523">
        <v>125</v>
      </c>
      <c r="E229" s="1523">
        <v>70</v>
      </c>
      <c r="F229" s="1513">
        <f t="shared" si="70"/>
        <v>0.56000000000000005</v>
      </c>
      <c r="G229" s="1505">
        <v>140</v>
      </c>
      <c r="H229" s="1505">
        <v>70</v>
      </c>
      <c r="I229" s="1513">
        <f t="shared" si="71"/>
        <v>0.5</v>
      </c>
      <c r="J229" s="1515">
        <f t="shared" si="72"/>
        <v>265</v>
      </c>
      <c r="K229" s="1512">
        <f t="shared" si="72"/>
        <v>140</v>
      </c>
      <c r="L229" s="1217">
        <f t="shared" si="73"/>
        <v>0.52830188679245282</v>
      </c>
    </row>
    <row r="230" spans="2:12">
      <c r="B230" s="828" t="s">
        <v>6921</v>
      </c>
      <c r="C230" s="1516" t="s">
        <v>6922</v>
      </c>
      <c r="D230" s="1523"/>
      <c r="E230" s="1523"/>
      <c r="F230" s="1513" t="e">
        <f t="shared" si="70"/>
        <v>#DIV/0!</v>
      </c>
      <c r="G230" s="1505">
        <v>1</v>
      </c>
      <c r="H230" s="1505">
        <v>2</v>
      </c>
      <c r="I230" s="1513">
        <f t="shared" si="71"/>
        <v>2</v>
      </c>
      <c r="J230" s="1515">
        <f t="shared" si="72"/>
        <v>1</v>
      </c>
      <c r="K230" s="1512">
        <f t="shared" si="72"/>
        <v>2</v>
      </c>
      <c r="L230" s="1217">
        <f t="shared" si="73"/>
        <v>2</v>
      </c>
    </row>
    <row r="231" spans="2:12">
      <c r="B231" s="1506" t="s">
        <v>6923</v>
      </c>
      <c r="C231" s="1488" t="s">
        <v>6924</v>
      </c>
      <c r="D231" s="1503"/>
      <c r="E231" s="1503"/>
      <c r="F231" s="1513" t="e">
        <f t="shared" si="70"/>
        <v>#DIV/0!</v>
      </c>
      <c r="G231" s="1505">
        <v>3</v>
      </c>
      <c r="H231" s="1505">
        <v>1</v>
      </c>
      <c r="I231" s="1513">
        <f t="shared" si="71"/>
        <v>0.33333333333333331</v>
      </c>
      <c r="J231" s="1515">
        <f t="shared" si="72"/>
        <v>3</v>
      </c>
      <c r="K231" s="1512">
        <f t="shared" si="72"/>
        <v>1</v>
      </c>
      <c r="L231" s="1217">
        <f t="shared" si="73"/>
        <v>0.33333333333333331</v>
      </c>
    </row>
    <row r="232" spans="2:12" ht="25.5">
      <c r="B232" s="1506"/>
      <c r="C232" s="1511" t="s">
        <v>6925</v>
      </c>
      <c r="D232" s="1512">
        <f t="shared" ref="D232:J232" si="74">SUM(D233:D240)</f>
        <v>40</v>
      </c>
      <c r="E232" s="1512">
        <f t="shared" si="74"/>
        <v>30</v>
      </c>
      <c r="F232" s="1513">
        <f>+E232/D232</f>
        <v>0.75</v>
      </c>
      <c r="G232" s="1512">
        <f t="shared" si="74"/>
        <v>139</v>
      </c>
      <c r="H232" s="1512">
        <f t="shared" si="74"/>
        <v>91</v>
      </c>
      <c r="I232" s="1513">
        <f>+H232/G232</f>
        <v>0.65467625899280579</v>
      </c>
      <c r="J232" s="1512">
        <f t="shared" si="74"/>
        <v>179</v>
      </c>
      <c r="K232" s="1512">
        <f>+E232+H232</f>
        <v>121</v>
      </c>
      <c r="L232" s="1217">
        <f>+K232/J232</f>
        <v>0.67597765363128492</v>
      </c>
    </row>
    <row r="233" spans="2:12">
      <c r="B233" s="828" t="s">
        <v>6926</v>
      </c>
      <c r="C233" s="1516" t="s">
        <v>6927</v>
      </c>
      <c r="D233" s="1523"/>
      <c r="E233" s="1523"/>
      <c r="F233" s="1513" t="e">
        <f t="shared" ref="F233:F240" si="75">+E233/D233</f>
        <v>#DIV/0!</v>
      </c>
      <c r="G233" s="1505"/>
      <c r="H233" s="1505"/>
      <c r="I233" s="1513" t="e">
        <f t="shared" ref="I233:I240" si="76">+H233/G233</f>
        <v>#DIV/0!</v>
      </c>
      <c r="J233" s="1515">
        <f t="shared" ref="J233:K240" si="77">+D233+G233</f>
        <v>0</v>
      </c>
      <c r="K233" s="1512">
        <f t="shared" si="77"/>
        <v>0</v>
      </c>
      <c r="L233" s="1548" t="e">
        <f t="shared" ref="L233:L240" si="78">+K233/J233</f>
        <v>#DIV/0!</v>
      </c>
    </row>
    <row r="234" spans="2:12">
      <c r="B234" s="828" t="s">
        <v>6928</v>
      </c>
      <c r="C234" s="1516" t="s">
        <v>6929</v>
      </c>
      <c r="D234" s="1523">
        <v>20</v>
      </c>
      <c r="E234" s="1523">
        <v>17</v>
      </c>
      <c r="F234" s="1513">
        <f t="shared" si="75"/>
        <v>0.85</v>
      </c>
      <c r="G234" s="1505">
        <v>95</v>
      </c>
      <c r="H234" s="1505">
        <v>50</v>
      </c>
      <c r="I234" s="1513">
        <f t="shared" si="76"/>
        <v>0.52631578947368418</v>
      </c>
      <c r="J234" s="1515">
        <f t="shared" si="77"/>
        <v>115</v>
      </c>
      <c r="K234" s="1512">
        <f t="shared" si="77"/>
        <v>67</v>
      </c>
      <c r="L234" s="1548">
        <f t="shared" si="78"/>
        <v>0.58260869565217388</v>
      </c>
    </row>
    <row r="235" spans="2:12">
      <c r="B235" s="828" t="s">
        <v>6930</v>
      </c>
      <c r="C235" s="1516" t="s">
        <v>6931</v>
      </c>
      <c r="D235" s="1523"/>
      <c r="E235" s="1523"/>
      <c r="F235" s="1513" t="e">
        <f t="shared" si="75"/>
        <v>#DIV/0!</v>
      </c>
      <c r="G235" s="1505"/>
      <c r="H235" s="1505"/>
      <c r="I235" s="1513" t="e">
        <f t="shared" si="76"/>
        <v>#DIV/0!</v>
      </c>
      <c r="J235" s="1515">
        <f t="shared" si="77"/>
        <v>0</v>
      </c>
      <c r="K235" s="1512">
        <f t="shared" si="77"/>
        <v>0</v>
      </c>
      <c r="L235" s="1548" t="e">
        <f t="shared" si="78"/>
        <v>#DIV/0!</v>
      </c>
    </row>
    <row r="236" spans="2:12">
      <c r="B236" s="828" t="s">
        <v>6932</v>
      </c>
      <c r="C236" s="1516" t="s">
        <v>6933</v>
      </c>
      <c r="D236" s="1523"/>
      <c r="E236" s="1523"/>
      <c r="F236" s="1513" t="e">
        <f t="shared" si="75"/>
        <v>#DIV/0!</v>
      </c>
      <c r="G236" s="1505"/>
      <c r="H236" s="1505"/>
      <c r="I236" s="1513" t="e">
        <f t="shared" si="76"/>
        <v>#DIV/0!</v>
      </c>
      <c r="J236" s="1515">
        <f t="shared" si="77"/>
        <v>0</v>
      </c>
      <c r="K236" s="1512">
        <f t="shared" si="77"/>
        <v>0</v>
      </c>
      <c r="L236" s="1548" t="e">
        <f t="shared" si="78"/>
        <v>#DIV/0!</v>
      </c>
    </row>
    <row r="237" spans="2:12">
      <c r="B237" s="828" t="s">
        <v>6934</v>
      </c>
      <c r="C237" s="1516" t="s">
        <v>6935</v>
      </c>
      <c r="D237" s="1523">
        <v>5</v>
      </c>
      <c r="E237" s="1523">
        <v>5</v>
      </c>
      <c r="F237" s="1513">
        <f t="shared" si="75"/>
        <v>1</v>
      </c>
      <c r="G237" s="1505">
        <v>10</v>
      </c>
      <c r="H237" s="1505">
        <v>3</v>
      </c>
      <c r="I237" s="1513">
        <f t="shared" si="76"/>
        <v>0.3</v>
      </c>
      <c r="J237" s="1515">
        <f t="shared" si="77"/>
        <v>15</v>
      </c>
      <c r="K237" s="1512">
        <f t="shared" si="77"/>
        <v>8</v>
      </c>
      <c r="L237" s="1548">
        <f t="shared" si="78"/>
        <v>0.53333333333333333</v>
      </c>
    </row>
    <row r="238" spans="2:12">
      <c r="B238" s="828" t="s">
        <v>6936</v>
      </c>
      <c r="C238" s="1516" t="s">
        <v>187</v>
      </c>
      <c r="D238" s="1523">
        <v>15</v>
      </c>
      <c r="E238" s="1523">
        <v>8</v>
      </c>
      <c r="F238" s="1513">
        <f t="shared" si="75"/>
        <v>0.53333333333333333</v>
      </c>
      <c r="G238" s="1505">
        <v>30</v>
      </c>
      <c r="H238" s="1505">
        <v>37</v>
      </c>
      <c r="I238" s="1513">
        <f t="shared" si="76"/>
        <v>1.2333333333333334</v>
      </c>
      <c r="J238" s="1515">
        <f t="shared" si="77"/>
        <v>45</v>
      </c>
      <c r="K238" s="1512">
        <f t="shared" si="77"/>
        <v>45</v>
      </c>
      <c r="L238" s="1548">
        <f t="shared" si="78"/>
        <v>1</v>
      </c>
    </row>
    <row r="239" spans="2:12">
      <c r="B239" s="828" t="s">
        <v>6937</v>
      </c>
      <c r="C239" s="1516" t="s">
        <v>6938</v>
      </c>
      <c r="D239" s="1523"/>
      <c r="E239" s="1523"/>
      <c r="F239" s="1513" t="e">
        <f t="shared" si="75"/>
        <v>#DIV/0!</v>
      </c>
      <c r="G239" s="1505">
        <v>3</v>
      </c>
      <c r="H239" s="1505">
        <v>1</v>
      </c>
      <c r="I239" s="1513">
        <f t="shared" si="76"/>
        <v>0.33333333333333331</v>
      </c>
      <c r="J239" s="1515">
        <f t="shared" si="77"/>
        <v>3</v>
      </c>
      <c r="K239" s="1512">
        <f t="shared" si="77"/>
        <v>1</v>
      </c>
      <c r="L239" s="1548">
        <f t="shared" si="78"/>
        <v>0.33333333333333331</v>
      </c>
    </row>
    <row r="240" spans="2:12">
      <c r="B240" s="828" t="s">
        <v>6939</v>
      </c>
      <c r="C240" s="1516" t="s">
        <v>6940</v>
      </c>
      <c r="D240" s="1523"/>
      <c r="E240" s="1523"/>
      <c r="F240" s="1513" t="e">
        <f t="shared" si="75"/>
        <v>#DIV/0!</v>
      </c>
      <c r="G240" s="1505">
        <v>1</v>
      </c>
      <c r="H240" s="1505"/>
      <c r="I240" s="1513">
        <f t="shared" si="76"/>
        <v>0</v>
      </c>
      <c r="J240" s="1515">
        <f t="shared" si="77"/>
        <v>1</v>
      </c>
      <c r="K240" s="1512">
        <f t="shared" si="77"/>
        <v>0</v>
      </c>
      <c r="L240" s="1548">
        <f t="shared" si="78"/>
        <v>0</v>
      </c>
    </row>
    <row r="241" spans="2:12">
      <c r="B241" s="2276"/>
      <c r="C241" s="2277"/>
      <c r="D241" s="2277"/>
      <c r="E241" s="2277"/>
      <c r="F241" s="2277"/>
      <c r="G241" s="2277"/>
      <c r="H241" s="2277"/>
      <c r="I241" s="2277"/>
      <c r="J241" s="2277"/>
      <c r="K241" s="2277"/>
      <c r="L241" s="2278"/>
    </row>
    <row r="242" spans="2:12">
      <c r="B242" s="1506"/>
      <c r="C242" s="1526" t="s">
        <v>6941</v>
      </c>
      <c r="D242" s="1527">
        <f t="shared" ref="D242:J242" si="79">SUM(D243:D244)</f>
        <v>1</v>
      </c>
      <c r="E242" s="1527">
        <f t="shared" si="79"/>
        <v>1</v>
      </c>
      <c r="F242" s="1528">
        <f>+E242/D242</f>
        <v>1</v>
      </c>
      <c r="G242" s="1527">
        <f t="shared" si="79"/>
        <v>20</v>
      </c>
      <c r="H242" s="1527">
        <f t="shared" si="79"/>
        <v>12</v>
      </c>
      <c r="I242" s="1528">
        <f>+H242/G242</f>
        <v>0.6</v>
      </c>
      <c r="J242" s="1527">
        <f t="shared" si="79"/>
        <v>21</v>
      </c>
      <c r="K242" s="1068">
        <f>+E242+H242</f>
        <v>13</v>
      </c>
      <c r="L242" s="1549">
        <f>+K242/J242</f>
        <v>0.61904761904761907</v>
      </c>
    </row>
    <row r="243" spans="2:12">
      <c r="B243" s="828" t="s">
        <v>6942</v>
      </c>
      <c r="C243" s="1516" t="s">
        <v>6943</v>
      </c>
      <c r="D243" s="1529"/>
      <c r="E243" s="1529"/>
      <c r="F243" s="1528" t="e">
        <f t="shared" ref="F243:F244" si="80">+E243/D243</f>
        <v>#DIV/0!</v>
      </c>
      <c r="G243" s="1530">
        <v>5</v>
      </c>
      <c r="H243" s="1530">
        <v>4</v>
      </c>
      <c r="I243" s="1528">
        <f t="shared" ref="I243:I244" si="81">+H243/G243</f>
        <v>0.8</v>
      </c>
      <c r="J243" s="1531">
        <f>+D243+G243</f>
        <v>5</v>
      </c>
      <c r="K243" s="1068">
        <f t="shared" ref="K243:K244" si="82">+E243+H243</f>
        <v>4</v>
      </c>
      <c r="L243" s="1549">
        <f t="shared" ref="L243:L244" si="83">+K243/J243</f>
        <v>0.8</v>
      </c>
    </row>
    <row r="244" spans="2:12">
      <c r="B244" s="828" t="s">
        <v>6944</v>
      </c>
      <c r="C244" s="1516" t="s">
        <v>6945</v>
      </c>
      <c r="D244" s="1529">
        <v>1</v>
      </c>
      <c r="E244" s="1529">
        <v>1</v>
      </c>
      <c r="F244" s="1528">
        <f t="shared" si="80"/>
        <v>1</v>
      </c>
      <c r="G244" s="1530">
        <v>15</v>
      </c>
      <c r="H244" s="1530">
        <v>8</v>
      </c>
      <c r="I244" s="1528">
        <f t="shared" si="81"/>
        <v>0.53333333333333333</v>
      </c>
      <c r="J244" s="1531">
        <f>+D244+G244</f>
        <v>16</v>
      </c>
      <c r="K244" s="1068">
        <f t="shared" si="82"/>
        <v>9</v>
      </c>
      <c r="L244" s="1549">
        <f t="shared" si="83"/>
        <v>0.5625</v>
      </c>
    </row>
    <row r="245" spans="2:12">
      <c r="B245" s="1487" t="s">
        <v>266</v>
      </c>
      <c r="C245" s="1488"/>
      <c r="D245" s="1501"/>
      <c r="E245" s="1501"/>
      <c r="F245" s="1502"/>
      <c r="G245" s="1505"/>
      <c r="H245" s="1505"/>
      <c r="I245" s="1532"/>
      <c r="J245" s="1515"/>
      <c r="K245" s="770"/>
      <c r="L245" s="1028"/>
    </row>
    <row r="246" spans="2:12">
      <c r="B246" s="1487" t="s">
        <v>267</v>
      </c>
      <c r="C246" s="1488"/>
      <c r="D246" s="1501"/>
      <c r="E246" s="1501"/>
      <c r="F246" s="1502"/>
      <c r="G246" s="1505"/>
      <c r="H246" s="1505"/>
      <c r="I246" s="1532"/>
      <c r="J246" s="1515"/>
      <c r="K246" s="770"/>
      <c r="L246" s="1028"/>
    </row>
    <row r="247" spans="2:12">
      <c r="B247" s="1533" t="s">
        <v>268</v>
      </c>
      <c r="C247" s="1534"/>
      <c r="D247" s="1503"/>
      <c r="E247" s="1503"/>
      <c r="F247" s="1504"/>
      <c r="G247" s="1505"/>
      <c r="H247" s="1505"/>
      <c r="I247" s="1532"/>
      <c r="J247" s="1515"/>
      <c r="K247" s="770"/>
      <c r="L247" s="1028"/>
    </row>
    <row r="248" spans="2:12">
      <c r="B248" s="1535" t="s">
        <v>269</v>
      </c>
      <c r="C248" s="1488" t="s">
        <v>178</v>
      </c>
      <c r="D248" s="1501"/>
      <c r="E248" s="1501"/>
      <c r="F248" s="1502"/>
      <c r="G248" s="1505"/>
      <c r="H248" s="1505"/>
      <c r="I248" s="1532"/>
      <c r="J248" s="1515"/>
      <c r="K248" s="770"/>
      <c r="L248" s="1028"/>
    </row>
    <row r="249" spans="2:12">
      <c r="B249" s="1535" t="s">
        <v>270</v>
      </c>
      <c r="C249" s="1488" t="s">
        <v>179</v>
      </c>
      <c r="D249" s="1501"/>
      <c r="E249" s="1501"/>
      <c r="F249" s="1502"/>
      <c r="G249" s="1505"/>
      <c r="H249" s="1505"/>
      <c r="I249" s="1532"/>
      <c r="J249" s="1515"/>
      <c r="K249" s="770"/>
      <c r="L249" s="1028"/>
    </row>
    <row r="250" spans="2:12">
      <c r="B250" s="1535" t="s">
        <v>271</v>
      </c>
      <c r="C250" s="1488" t="s">
        <v>180</v>
      </c>
      <c r="D250" s="1503"/>
      <c r="E250" s="1503"/>
      <c r="F250" s="1504"/>
      <c r="G250" s="1505"/>
      <c r="H250" s="1505"/>
      <c r="I250" s="1532"/>
      <c r="J250" s="1515"/>
      <c r="K250" s="770"/>
      <c r="L250" s="1028"/>
    </row>
    <row r="251" spans="2:12" ht="51">
      <c r="B251" s="1535" t="s">
        <v>272</v>
      </c>
      <c r="C251" s="1488" t="s">
        <v>192</v>
      </c>
      <c r="D251" s="1501"/>
      <c r="E251" s="1501"/>
      <c r="F251" s="1502"/>
      <c r="G251" s="1505"/>
      <c r="H251" s="1505"/>
      <c r="I251" s="1532"/>
      <c r="J251" s="1515"/>
      <c r="K251" s="770"/>
      <c r="L251" s="1028"/>
    </row>
    <row r="252" spans="2:12" ht="76.5">
      <c r="B252" s="1535" t="s">
        <v>273</v>
      </c>
      <c r="C252" s="1488" t="s">
        <v>188</v>
      </c>
      <c r="D252" s="1501"/>
      <c r="E252" s="1501"/>
      <c r="F252" s="1502"/>
      <c r="G252" s="1505"/>
      <c r="H252" s="1505"/>
      <c r="I252" s="1532"/>
      <c r="J252" s="1515"/>
      <c r="K252" s="770"/>
      <c r="L252" s="1028"/>
    </row>
    <row r="253" spans="2:12">
      <c r="B253" s="1487"/>
      <c r="C253" s="1488" t="s">
        <v>266</v>
      </c>
      <c r="D253" s="1501"/>
      <c r="E253" s="1501"/>
      <c r="F253" s="1502"/>
      <c r="G253" s="1505"/>
      <c r="H253" s="1505"/>
      <c r="I253" s="1532"/>
      <c r="J253" s="1515"/>
      <c r="K253" s="770"/>
      <c r="L253" s="1028"/>
    </row>
    <row r="254" spans="2:12">
      <c r="B254" s="1487"/>
      <c r="C254" s="1488" t="s">
        <v>267</v>
      </c>
      <c r="D254" s="1501"/>
      <c r="E254" s="1501"/>
      <c r="F254" s="1502"/>
      <c r="G254" s="1505"/>
      <c r="H254" s="1505"/>
      <c r="I254" s="1532"/>
      <c r="J254" s="1515"/>
      <c r="K254" s="770"/>
      <c r="L254" s="1028"/>
    </row>
    <row r="255" spans="2:12" ht="38.25">
      <c r="B255" s="1536" t="s">
        <v>6946</v>
      </c>
      <c r="C255" s="1537" t="s">
        <v>6947</v>
      </c>
      <c r="D255" s="1503"/>
      <c r="E255" s="1503"/>
      <c r="F255" s="1504"/>
      <c r="G255" s="1505"/>
      <c r="H255" s="1505"/>
      <c r="I255" s="1532"/>
      <c r="J255" s="1515"/>
      <c r="K255" s="770"/>
      <c r="L255" s="1028"/>
    </row>
    <row r="256" spans="2:12" ht="25.5">
      <c r="B256" s="1535" t="s">
        <v>274</v>
      </c>
      <c r="C256" s="1488" t="s">
        <v>181</v>
      </c>
      <c r="D256" s="1503"/>
      <c r="E256" s="1503"/>
      <c r="F256" s="1504"/>
      <c r="G256" s="1505"/>
      <c r="H256" s="1505"/>
      <c r="I256" s="1532"/>
      <c r="J256" s="1515"/>
      <c r="K256" s="770"/>
      <c r="L256" s="1028"/>
    </row>
    <row r="257" spans="2:12" ht="25.5">
      <c r="B257" s="1535" t="s">
        <v>275</v>
      </c>
      <c r="C257" s="1488" t="s">
        <v>182</v>
      </c>
      <c r="D257" s="1503"/>
      <c r="E257" s="1503"/>
      <c r="F257" s="1504"/>
      <c r="G257" s="1505"/>
      <c r="H257" s="1505"/>
      <c r="I257" s="1532"/>
      <c r="J257" s="1515"/>
      <c r="K257" s="770"/>
      <c r="L257" s="1028"/>
    </row>
    <row r="258" spans="2:12" ht="38.25">
      <c r="B258" s="1535" t="s">
        <v>276</v>
      </c>
      <c r="C258" s="1488" t="s">
        <v>183</v>
      </c>
      <c r="D258" s="1503"/>
      <c r="E258" s="1503"/>
      <c r="F258" s="1504"/>
      <c r="G258" s="1505"/>
      <c r="H258" s="1505"/>
      <c r="I258" s="1532"/>
      <c r="J258" s="1515"/>
      <c r="K258" s="770"/>
      <c r="L258" s="1028"/>
    </row>
    <row r="259" spans="2:12" ht="25.5">
      <c r="B259" s="1535" t="s">
        <v>277</v>
      </c>
      <c r="C259" s="1488" t="s">
        <v>190</v>
      </c>
      <c r="D259" s="1503"/>
      <c r="E259" s="1503"/>
      <c r="F259" s="1504"/>
      <c r="G259" s="1505"/>
      <c r="H259" s="1505"/>
      <c r="I259" s="1532"/>
      <c r="J259" s="1515"/>
      <c r="K259" s="770"/>
      <c r="L259" s="1028"/>
    </row>
    <row r="260" spans="2:12">
      <c r="B260" s="1535" t="s">
        <v>278</v>
      </c>
      <c r="C260" s="1488" t="s">
        <v>184</v>
      </c>
      <c r="D260" s="1503"/>
      <c r="E260" s="1503"/>
      <c r="F260" s="1504"/>
      <c r="G260" s="1505"/>
      <c r="H260" s="1505"/>
      <c r="I260" s="1532"/>
      <c r="J260" s="1515"/>
      <c r="K260" s="770"/>
      <c r="L260" s="1028"/>
    </row>
    <row r="261" spans="2:12">
      <c r="B261" s="1535" t="s">
        <v>279</v>
      </c>
      <c r="C261" s="1488" t="s">
        <v>185</v>
      </c>
      <c r="D261" s="1503"/>
      <c r="E261" s="1503"/>
      <c r="F261" s="1504"/>
      <c r="G261" s="1505"/>
      <c r="H261" s="1505"/>
      <c r="I261" s="1532"/>
      <c r="J261" s="1515"/>
      <c r="K261" s="770"/>
      <c r="L261" s="1028"/>
    </row>
    <row r="262" spans="2:12">
      <c r="B262" s="1535" t="s">
        <v>280</v>
      </c>
      <c r="C262" s="1488" t="s">
        <v>191</v>
      </c>
      <c r="D262" s="1503"/>
      <c r="E262" s="1503"/>
      <c r="F262" s="1504"/>
      <c r="G262" s="1505"/>
      <c r="H262" s="1505"/>
      <c r="I262" s="1532"/>
      <c r="J262" s="1515"/>
      <c r="K262" s="770"/>
      <c r="L262" s="1028"/>
    </row>
    <row r="263" spans="2:12">
      <c r="B263" s="1535" t="s">
        <v>281</v>
      </c>
      <c r="C263" s="1488" t="s">
        <v>186</v>
      </c>
      <c r="D263" s="1503"/>
      <c r="E263" s="1503"/>
      <c r="F263" s="1504"/>
      <c r="G263" s="1505"/>
      <c r="H263" s="1505"/>
      <c r="I263" s="1532"/>
      <c r="J263" s="1515"/>
      <c r="K263" s="770"/>
      <c r="L263" s="1028"/>
    </row>
    <row r="264" spans="2:12">
      <c r="B264" s="1535" t="s">
        <v>282</v>
      </c>
      <c r="C264" s="1488" t="s">
        <v>187</v>
      </c>
      <c r="D264" s="1503"/>
      <c r="E264" s="1503"/>
      <c r="F264" s="1504"/>
      <c r="G264" s="1505"/>
      <c r="H264" s="1505"/>
      <c r="I264" s="1532"/>
      <c r="J264" s="1515"/>
      <c r="K264" s="770"/>
      <c r="L264" s="1028"/>
    </row>
    <row r="265" spans="2:12">
      <c r="B265" s="1487"/>
      <c r="C265" s="1488" t="s">
        <v>266</v>
      </c>
      <c r="D265" s="1501"/>
      <c r="E265" s="1501"/>
      <c r="F265" s="1502"/>
      <c r="G265" s="1505"/>
      <c r="H265" s="1505"/>
      <c r="I265" s="1532"/>
      <c r="J265" s="1515"/>
      <c r="K265" s="770"/>
      <c r="L265" s="1028"/>
    </row>
    <row r="266" spans="2:12">
      <c r="B266" s="1487"/>
      <c r="C266" s="1488" t="s">
        <v>267</v>
      </c>
      <c r="D266" s="1501"/>
      <c r="E266" s="1501"/>
      <c r="F266" s="1502"/>
      <c r="G266" s="1505"/>
      <c r="H266" s="1505"/>
      <c r="I266" s="1532"/>
      <c r="J266" s="1515"/>
      <c r="K266" s="770"/>
      <c r="L266" s="1028"/>
    </row>
    <row r="267" spans="2:12">
      <c r="B267" s="1506" t="s">
        <v>6948</v>
      </c>
      <c r="C267" s="1488" t="s">
        <v>6949</v>
      </c>
      <c r="D267" s="1503"/>
      <c r="E267" s="1503"/>
      <c r="F267" s="1504"/>
      <c r="G267" s="1505"/>
      <c r="H267" s="1505"/>
      <c r="I267" s="1532"/>
      <c r="J267" s="1515"/>
      <c r="K267" s="770"/>
      <c r="L267" s="1028"/>
    </row>
    <row r="268" spans="2:12">
      <c r="B268" s="1506"/>
      <c r="C268" s="1488"/>
      <c r="D268" s="1503"/>
      <c r="E268" s="1503"/>
      <c r="F268" s="1504"/>
      <c r="G268" s="1505"/>
      <c r="H268" s="1505"/>
      <c r="I268" s="1532"/>
      <c r="J268" s="1515"/>
      <c r="K268" s="770"/>
      <c r="L268" s="1028"/>
    </row>
    <row r="269" spans="2:12">
      <c r="B269" s="1506"/>
      <c r="C269" s="1488"/>
      <c r="D269" s="1503"/>
      <c r="E269" s="1503"/>
      <c r="F269" s="1504"/>
      <c r="G269" s="1505"/>
      <c r="H269" s="1505"/>
      <c r="I269" s="1532"/>
      <c r="J269" s="1515"/>
      <c r="K269" s="770"/>
      <c r="L269" s="1028"/>
    </row>
    <row r="270" spans="2:12">
      <c r="B270" s="1506"/>
      <c r="C270" s="1488"/>
      <c r="D270" s="1503"/>
      <c r="E270" s="1503"/>
      <c r="F270" s="1504"/>
      <c r="G270" s="1505"/>
      <c r="H270" s="1505"/>
      <c r="I270" s="1532"/>
      <c r="J270" s="1515"/>
      <c r="K270" s="770"/>
      <c r="L270" s="1028"/>
    </row>
    <row r="271" spans="2:12">
      <c r="B271" s="1506"/>
      <c r="C271" s="1488"/>
      <c r="D271" s="1503"/>
      <c r="E271" s="1503"/>
      <c r="F271" s="1504"/>
      <c r="G271" s="1505"/>
      <c r="H271" s="1505"/>
      <c r="I271" s="1532"/>
      <c r="J271" s="1515"/>
      <c r="K271" s="770"/>
      <c r="L271" s="1028"/>
    </row>
    <row r="272" spans="2:12">
      <c r="B272" s="1487"/>
      <c r="C272" s="1488" t="s">
        <v>7</v>
      </c>
      <c r="D272" s="1501"/>
      <c r="E272" s="1501"/>
      <c r="F272" s="1502"/>
      <c r="G272" s="1505"/>
      <c r="H272" s="1505"/>
      <c r="I272" s="1532"/>
      <c r="J272" s="1515"/>
      <c r="K272" s="770"/>
      <c r="L272" s="1028"/>
    </row>
    <row r="273" spans="2:12">
      <c r="B273" s="1487"/>
      <c r="C273" s="1488" t="s">
        <v>8</v>
      </c>
      <c r="D273" s="1501"/>
      <c r="E273" s="1501"/>
      <c r="F273" s="1502"/>
      <c r="G273" s="1505"/>
      <c r="H273" s="1505"/>
      <c r="I273" s="1532"/>
      <c r="J273" s="1515"/>
      <c r="K273" s="770"/>
      <c r="L273" s="1028"/>
    </row>
    <row r="274" spans="2:12" ht="25.5">
      <c r="B274" s="1506" t="s">
        <v>6950</v>
      </c>
      <c r="C274" s="1488" t="s">
        <v>6951</v>
      </c>
      <c r="D274" s="1503"/>
      <c r="E274" s="1503"/>
      <c r="F274" s="1504"/>
      <c r="G274" s="1505"/>
      <c r="H274" s="1505"/>
      <c r="I274" s="1532"/>
      <c r="J274" s="1515"/>
      <c r="K274" s="770"/>
      <c r="L274" s="1028"/>
    </row>
    <row r="275" spans="2:12">
      <c r="B275" s="1506"/>
      <c r="C275" s="1488"/>
      <c r="D275" s="1503"/>
      <c r="E275" s="1503"/>
      <c r="F275" s="1504"/>
      <c r="G275" s="1505"/>
      <c r="H275" s="1505"/>
      <c r="I275" s="1532"/>
      <c r="J275" s="1515"/>
      <c r="K275" s="770"/>
      <c r="L275" s="1028"/>
    </row>
    <row r="276" spans="2:12">
      <c r="B276" s="1506"/>
      <c r="C276" s="1488"/>
      <c r="D276" s="1503"/>
      <c r="E276" s="1503"/>
      <c r="F276" s="1504"/>
      <c r="G276" s="1505"/>
      <c r="H276" s="1505"/>
      <c r="I276" s="1532"/>
      <c r="J276" s="1515"/>
      <c r="K276" s="770"/>
      <c r="L276" s="1028"/>
    </row>
    <row r="277" spans="2:12">
      <c r="B277" s="1506"/>
      <c r="C277" s="1488"/>
      <c r="D277" s="1503"/>
      <c r="E277" s="1503"/>
      <c r="F277" s="1504"/>
      <c r="G277" s="1505"/>
      <c r="H277" s="1505"/>
      <c r="I277" s="1532"/>
      <c r="J277" s="1515"/>
      <c r="K277" s="770"/>
      <c r="L277" s="1028"/>
    </row>
    <row r="278" spans="2:12">
      <c r="B278" s="1538"/>
      <c r="C278" s="1539" t="s">
        <v>123</v>
      </c>
      <c r="D278" s="1540">
        <f t="shared" ref="D278:K280" si="84">+D7+D126</f>
        <v>49900</v>
      </c>
      <c r="E278" s="1540">
        <f t="shared" si="84"/>
        <v>24061</v>
      </c>
      <c r="F278" s="1541">
        <f>+E278/D278</f>
        <v>0.48218436873747494</v>
      </c>
      <c r="G278" s="1540">
        <f t="shared" si="84"/>
        <v>83500</v>
      </c>
      <c r="H278" s="1540">
        <f t="shared" si="84"/>
        <v>42288</v>
      </c>
      <c r="I278" s="1541">
        <f>+H278/G278</f>
        <v>0.5064431137724551</v>
      </c>
      <c r="J278" s="1540">
        <f t="shared" si="84"/>
        <v>133400</v>
      </c>
      <c r="K278" s="1540">
        <f t="shared" si="84"/>
        <v>66349</v>
      </c>
      <c r="L278" s="1028">
        <f>+K278/J278</f>
        <v>0.49736881559220392</v>
      </c>
    </row>
    <row r="279" spans="2:12">
      <c r="B279" s="1538"/>
      <c r="C279" s="1539" t="s">
        <v>124</v>
      </c>
      <c r="D279" s="1540">
        <f t="shared" si="84"/>
        <v>59744</v>
      </c>
      <c r="E279" s="1540">
        <f t="shared" si="84"/>
        <v>28791</v>
      </c>
      <c r="F279" s="1541">
        <f t="shared" ref="F279:F280" si="85">+E279/D279</f>
        <v>0.4819061328334226</v>
      </c>
      <c r="G279" s="1540">
        <f t="shared" si="84"/>
        <v>85971</v>
      </c>
      <c r="H279" s="1540">
        <f t="shared" si="84"/>
        <v>42979</v>
      </c>
      <c r="I279" s="1541">
        <f t="shared" ref="I279:I280" si="86">+H279/G279</f>
        <v>0.49992439310930431</v>
      </c>
      <c r="J279" s="1540">
        <f t="shared" si="84"/>
        <v>145177</v>
      </c>
      <c r="K279" s="1540">
        <f t="shared" si="84"/>
        <v>71770</v>
      </c>
      <c r="L279" s="1028">
        <f t="shared" ref="L279:L280" si="87">+K279/J279</f>
        <v>0.49436205459542487</v>
      </c>
    </row>
    <row r="280" spans="2:12">
      <c r="B280" s="1542"/>
      <c r="C280" s="1543" t="s">
        <v>125</v>
      </c>
      <c r="D280" s="1540">
        <f t="shared" si="84"/>
        <v>408919</v>
      </c>
      <c r="E280" s="1540">
        <f t="shared" si="84"/>
        <v>228352</v>
      </c>
      <c r="F280" s="1541">
        <f t="shared" si="85"/>
        <v>0.55842844181855089</v>
      </c>
      <c r="G280" s="1540">
        <f t="shared" si="84"/>
        <v>445537</v>
      </c>
      <c r="H280" s="1540">
        <f t="shared" si="84"/>
        <v>212984</v>
      </c>
      <c r="I280" s="1541">
        <f t="shared" si="86"/>
        <v>0.47803886097002046</v>
      </c>
      <c r="J280" s="1540">
        <f t="shared" si="84"/>
        <v>853818</v>
      </c>
      <c r="K280" s="1540">
        <f t="shared" si="84"/>
        <v>441336</v>
      </c>
      <c r="L280" s="1028">
        <f t="shared" si="87"/>
        <v>0.51689704363224953</v>
      </c>
    </row>
    <row r="281" spans="2:12">
      <c r="B281" s="2269" t="s">
        <v>340</v>
      </c>
      <c r="C281" s="2269"/>
      <c r="D281" s="2269"/>
      <c r="E281" s="2269"/>
      <c r="F281" s="2269"/>
      <c r="G281" s="2269"/>
      <c r="H281" s="2269"/>
      <c r="I281" s="2269"/>
      <c r="J281" s="2269"/>
      <c r="K281" s="770"/>
      <c r="L281" s="1028"/>
    </row>
    <row r="282" spans="2:12">
      <c r="B282" s="2269" t="s">
        <v>341</v>
      </c>
      <c r="C282" s="2269"/>
      <c r="D282" s="2269"/>
      <c r="E282" s="2269"/>
      <c r="F282" s="2269"/>
      <c r="G282" s="2269"/>
      <c r="H282" s="2269"/>
      <c r="I282" s="2269"/>
      <c r="J282" s="2269"/>
      <c r="K282" s="770"/>
      <c r="L282" s="1028"/>
    </row>
    <row r="283" spans="2:12">
      <c r="B283" s="1544"/>
      <c r="C283" s="1544"/>
      <c r="D283" s="1544"/>
      <c r="E283" s="1544"/>
      <c r="F283" s="1545"/>
      <c r="G283" s="1544"/>
      <c r="H283" s="1544"/>
      <c r="I283" s="1545"/>
      <c r="J283" s="1544"/>
    </row>
    <row r="284" spans="2:12">
      <c r="B284" s="1544"/>
      <c r="C284" s="1544"/>
      <c r="D284" s="1544"/>
      <c r="E284" s="1544"/>
      <c r="F284" s="1545"/>
      <c r="G284" s="1544"/>
      <c r="H284" s="1544"/>
      <c r="I284" s="1545"/>
      <c r="J284" s="1544"/>
    </row>
    <row r="285" spans="2:12">
      <c r="B285" s="1544"/>
      <c r="C285" s="1544"/>
      <c r="D285" s="1544"/>
      <c r="E285" s="1544"/>
      <c r="F285" s="1545"/>
      <c r="G285" s="1544"/>
      <c r="H285" s="1544"/>
      <c r="I285" s="1545"/>
      <c r="J285" s="1544"/>
    </row>
  </sheetData>
  <mergeCells count="25">
    <mergeCell ref="B1:C1"/>
    <mergeCell ref="D1:L1"/>
    <mergeCell ref="B2:C2"/>
    <mergeCell ref="D2:L2"/>
    <mergeCell ref="B3:C3"/>
    <mergeCell ref="D3:L3"/>
    <mergeCell ref="B4:C4"/>
    <mergeCell ref="D4:L4"/>
    <mergeCell ref="B5:B6"/>
    <mergeCell ref="C5:C6"/>
    <mergeCell ref="D5:F5"/>
    <mergeCell ref="G5:I5"/>
    <mergeCell ref="J5:L5"/>
    <mergeCell ref="B125:L125"/>
    <mergeCell ref="B129:L129"/>
    <mergeCell ref="B150:L150"/>
    <mergeCell ref="B154:L154"/>
    <mergeCell ref="B180:L180"/>
    <mergeCell ref="B281:J281"/>
    <mergeCell ref="B282:J282"/>
    <mergeCell ref="B193:L193"/>
    <mergeCell ref="B205:L205"/>
    <mergeCell ref="B220:L220"/>
    <mergeCell ref="C224:L224"/>
    <mergeCell ref="B241:L241"/>
  </mergeCells>
  <phoneticPr fontId="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57" orientation="portrait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C20"/>
  <sheetViews>
    <sheetView tabSelected="1" view="pageBreakPreview" zoomScale="90" zoomScaleSheetLayoutView="90" workbookViewId="0">
      <selection activeCell="N26" sqref="N26"/>
    </sheetView>
  </sheetViews>
  <sheetFormatPr defaultRowHeight="12.75"/>
  <cols>
    <col min="1" max="1" width="9.85546875" customWidth="1"/>
    <col min="2" max="2" width="10" customWidth="1"/>
    <col min="3" max="3" width="33.285156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6.85546875" customWidth="1"/>
    <col min="13" max="14" width="8.28515625" customWidth="1"/>
    <col min="15" max="15" width="7.28515625" customWidth="1"/>
    <col min="16" max="16" width="7.85546875" customWidth="1"/>
    <col min="17" max="17" width="8.42578125" customWidth="1"/>
    <col min="18" max="18" width="5.7109375" customWidth="1"/>
    <col min="19" max="19" width="8.5703125" customWidth="1"/>
    <col min="20" max="20" width="7.28515625" customWidth="1"/>
    <col min="28" max="28" width="11.140625" customWidth="1"/>
  </cols>
  <sheetData>
    <row r="1" spans="1:29">
      <c r="A1" s="2292" t="s">
        <v>208</v>
      </c>
      <c r="B1" s="2292"/>
      <c r="C1" s="2293"/>
      <c r="D1" s="2307" t="s">
        <v>1852</v>
      </c>
      <c r="E1" s="2308"/>
      <c r="F1" s="2308"/>
      <c r="G1" s="2308"/>
      <c r="H1" s="2308"/>
      <c r="I1" s="2308"/>
      <c r="J1" s="2308"/>
      <c r="K1" s="2308"/>
      <c r="L1" s="2308"/>
      <c r="M1" s="2308"/>
      <c r="N1" s="2308"/>
      <c r="O1" s="2308"/>
      <c r="P1" s="2308"/>
      <c r="Q1" s="2308"/>
      <c r="R1" s="2308"/>
      <c r="S1" s="2308"/>
      <c r="T1" s="2308"/>
      <c r="U1" s="2308"/>
      <c r="V1" s="2308"/>
      <c r="W1" s="2308"/>
      <c r="X1" s="2308"/>
      <c r="Y1" s="2308"/>
      <c r="Z1" s="2308"/>
      <c r="AA1" s="2308"/>
      <c r="AB1" s="2308"/>
      <c r="AC1" s="2308"/>
    </row>
    <row r="2" spans="1:29">
      <c r="A2" s="2292" t="s">
        <v>209</v>
      </c>
      <c r="B2" s="2292"/>
      <c r="C2" s="2293"/>
      <c r="D2" s="1839">
        <v>17878735</v>
      </c>
      <c r="E2" s="1840"/>
      <c r="F2" s="1840"/>
      <c r="G2" s="1840"/>
      <c r="H2" s="1840"/>
      <c r="I2" s="1840"/>
      <c r="J2" s="1840"/>
      <c r="K2" s="1840"/>
      <c r="L2" s="1840"/>
      <c r="M2" s="1840"/>
      <c r="N2" s="1840"/>
      <c r="O2" s="1840"/>
      <c r="P2" s="1840"/>
      <c r="Q2" s="1840"/>
      <c r="R2" s="1840"/>
      <c r="S2" s="1840"/>
      <c r="T2" s="1840"/>
      <c r="U2" s="1840"/>
      <c r="V2" s="1840"/>
      <c r="W2" s="1840"/>
      <c r="X2" s="1840"/>
      <c r="Y2" s="1840"/>
      <c r="Z2" s="1840"/>
      <c r="AA2" s="1840"/>
      <c r="AB2" s="1840"/>
      <c r="AC2" s="1840"/>
    </row>
    <row r="3" spans="1:29">
      <c r="A3" s="2292" t="s">
        <v>211</v>
      </c>
      <c r="B3" s="2292"/>
      <c r="C3" s="2293"/>
      <c r="D3" s="1839" t="s">
        <v>1869</v>
      </c>
      <c r="E3" s="1840"/>
      <c r="F3" s="1840"/>
      <c r="G3" s="1840"/>
      <c r="H3" s="1840"/>
      <c r="I3" s="1840"/>
      <c r="J3" s="1840"/>
      <c r="K3" s="1840"/>
      <c r="L3" s="1840"/>
      <c r="M3" s="1840"/>
      <c r="N3" s="1840"/>
      <c r="O3" s="1840"/>
      <c r="P3" s="1840"/>
      <c r="Q3" s="1840"/>
      <c r="R3" s="1840"/>
      <c r="S3" s="1840"/>
      <c r="T3" s="1840"/>
      <c r="U3" s="1840"/>
      <c r="V3" s="1840"/>
      <c r="W3" s="1840"/>
      <c r="X3" s="1840"/>
      <c r="Y3" s="1840"/>
      <c r="Z3" s="1840"/>
      <c r="AA3" s="1840"/>
      <c r="AB3" s="1840"/>
      <c r="AC3" s="1840"/>
    </row>
    <row r="4" spans="1:29" ht="14.25">
      <c r="A4" s="2292" t="s">
        <v>210</v>
      </c>
      <c r="B4" s="2292"/>
      <c r="C4" s="2293"/>
      <c r="D4" s="1830" t="s">
        <v>141</v>
      </c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  <c r="S4" s="1831"/>
      <c r="T4" s="1831"/>
      <c r="U4" s="1831"/>
      <c r="V4" s="1831"/>
      <c r="W4" s="1831"/>
      <c r="X4" s="1831"/>
      <c r="Y4" s="1831"/>
      <c r="Z4" s="1831"/>
      <c r="AA4" s="1831"/>
      <c r="AB4" s="1831"/>
      <c r="AC4" s="1831"/>
    </row>
    <row r="5" spans="1:29" ht="15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5"/>
      <c r="Y5" s="315"/>
      <c r="Z5" s="315"/>
      <c r="AA5" s="315"/>
      <c r="AB5" s="316"/>
      <c r="AC5" s="316"/>
    </row>
    <row r="6" spans="1:29" ht="12.75" customHeight="1">
      <c r="A6" s="2305" t="s">
        <v>1870</v>
      </c>
      <c r="B6" s="2294" t="s">
        <v>55</v>
      </c>
      <c r="C6" s="2294" t="s">
        <v>342</v>
      </c>
      <c r="D6" s="2295" t="s">
        <v>321</v>
      </c>
      <c r="E6" s="2296"/>
      <c r="F6" s="2296"/>
      <c r="G6" s="2296"/>
      <c r="H6" s="2296"/>
      <c r="I6" s="2296"/>
      <c r="J6" s="2296"/>
      <c r="K6" s="2296"/>
      <c r="L6" s="318"/>
      <c r="M6" s="318"/>
      <c r="N6" s="318"/>
      <c r="O6" s="318"/>
      <c r="P6" s="2295" t="s">
        <v>322</v>
      </c>
      <c r="Q6" s="2296"/>
      <c r="R6" s="2296"/>
      <c r="S6" s="2296"/>
      <c r="T6" s="2296"/>
      <c r="U6" s="2296"/>
      <c r="V6" s="2296"/>
      <c r="W6" s="2296"/>
      <c r="X6" s="319"/>
      <c r="Y6" s="319"/>
      <c r="Z6" s="319"/>
      <c r="AA6" s="319"/>
      <c r="AB6" s="2297" t="s">
        <v>323</v>
      </c>
      <c r="AC6" s="2297" t="s">
        <v>264</v>
      </c>
    </row>
    <row r="7" spans="1:29" ht="18.75" customHeight="1" thickBot="1">
      <c r="A7" s="2306"/>
      <c r="B7" s="2294"/>
      <c r="C7" s="2294"/>
      <c r="D7" s="2299" t="s">
        <v>368</v>
      </c>
      <c r="E7" s="2300"/>
      <c r="F7" s="2300"/>
      <c r="G7" s="2301"/>
      <c r="H7" s="2299" t="s">
        <v>1813</v>
      </c>
      <c r="I7" s="2300"/>
      <c r="J7" s="2300"/>
      <c r="K7" s="2301"/>
      <c r="L7" s="2299" t="s">
        <v>1871</v>
      </c>
      <c r="M7" s="2300"/>
      <c r="N7" s="2300"/>
      <c r="O7" s="2301"/>
      <c r="P7" s="2299" t="s">
        <v>368</v>
      </c>
      <c r="Q7" s="2300"/>
      <c r="R7" s="2300"/>
      <c r="S7" s="2301"/>
      <c r="T7" s="2299" t="s">
        <v>1813</v>
      </c>
      <c r="U7" s="2300"/>
      <c r="V7" s="2300"/>
      <c r="W7" s="2300"/>
      <c r="X7" s="2302" t="s">
        <v>1872</v>
      </c>
      <c r="Y7" s="2303"/>
      <c r="Z7" s="2303"/>
      <c r="AA7" s="2304"/>
      <c r="AB7" s="2298"/>
      <c r="AC7" s="2298"/>
    </row>
    <row r="8" spans="1:29" ht="24" thickTop="1" thickBot="1">
      <c r="A8" s="320"/>
      <c r="B8" s="321"/>
      <c r="C8" s="321"/>
      <c r="D8" s="380" t="s">
        <v>90</v>
      </c>
      <c r="E8" s="381" t="s">
        <v>113</v>
      </c>
      <c r="F8" s="381" t="s">
        <v>112</v>
      </c>
      <c r="G8" s="381" t="s">
        <v>111</v>
      </c>
      <c r="H8" s="322" t="s">
        <v>90</v>
      </c>
      <c r="I8" s="322" t="s">
        <v>113</v>
      </c>
      <c r="J8" s="322" t="s">
        <v>112</v>
      </c>
      <c r="K8" s="322" t="s">
        <v>111</v>
      </c>
      <c r="L8" s="322" t="s">
        <v>90</v>
      </c>
      <c r="M8" s="322" t="s">
        <v>1873</v>
      </c>
      <c r="N8" s="322" t="s">
        <v>1874</v>
      </c>
      <c r="O8" s="322" t="s">
        <v>1875</v>
      </c>
      <c r="P8" s="323" t="s">
        <v>90</v>
      </c>
      <c r="Q8" s="323" t="s">
        <v>113</v>
      </c>
      <c r="R8" s="323" t="s">
        <v>112</v>
      </c>
      <c r="S8" s="324" t="s">
        <v>111</v>
      </c>
      <c r="T8" s="322" t="s">
        <v>90</v>
      </c>
      <c r="U8" s="322" t="s">
        <v>113</v>
      </c>
      <c r="V8" s="322" t="s">
        <v>112</v>
      </c>
      <c r="W8" s="322" t="s">
        <v>111</v>
      </c>
      <c r="X8" s="325" t="s">
        <v>90</v>
      </c>
      <c r="Y8" s="325" t="s">
        <v>1873</v>
      </c>
      <c r="Z8" s="325" t="s">
        <v>1874</v>
      </c>
      <c r="AA8" s="325" t="s">
        <v>1875</v>
      </c>
      <c r="AB8" s="2298"/>
      <c r="AC8" s="2298"/>
    </row>
    <row r="9" spans="1:29" ht="23.25" customHeight="1" thickTop="1">
      <c r="A9" s="326"/>
      <c r="B9" s="327">
        <v>1</v>
      </c>
      <c r="C9" s="328" t="s">
        <v>1876</v>
      </c>
      <c r="D9" s="379">
        <f>SUM(E9:G9)</f>
        <v>109</v>
      </c>
      <c r="E9" s="330">
        <f>SUM(E10:E13)</f>
        <v>88</v>
      </c>
      <c r="F9" s="330">
        <f t="shared" ref="F9:G9" si="0">SUM(F10:F13)</f>
        <v>10</v>
      </c>
      <c r="G9" s="330">
        <f t="shared" si="0"/>
        <v>11</v>
      </c>
      <c r="H9" s="331">
        <f>I9+J9+K9</f>
        <v>93</v>
      </c>
      <c r="I9" s="332">
        <f>I10+I11+I12+I13</f>
        <v>89</v>
      </c>
      <c r="J9" s="332">
        <f>J10+J11+J12+J13</f>
        <v>2</v>
      </c>
      <c r="K9" s="332">
        <f>K10+K11+K12+K13</f>
        <v>2</v>
      </c>
      <c r="L9" s="333">
        <f>H9/D9*100</f>
        <v>85.321100917431195</v>
      </c>
      <c r="M9" s="333">
        <f>I9/E9*100</f>
        <v>101.13636363636364</v>
      </c>
      <c r="N9" s="333">
        <f>J9/F9*100</f>
        <v>20</v>
      </c>
      <c r="O9" s="333">
        <f>K9/G9*100</f>
        <v>18.181818181818183</v>
      </c>
      <c r="P9" s="334">
        <f>SUM(Q9:S9)</f>
        <v>14004</v>
      </c>
      <c r="Q9" s="334">
        <f>SUM(Q10:Q13)</f>
        <v>13850</v>
      </c>
      <c r="R9" s="334">
        <v>50</v>
      </c>
      <c r="S9" s="335">
        <v>104</v>
      </c>
      <c r="T9" s="1821">
        <f>U9+V9+W9</f>
        <v>6683</v>
      </c>
      <c r="U9" s="332">
        <f>U10+U11+U12+U13</f>
        <v>6590</v>
      </c>
      <c r="V9" s="332">
        <f>V10+V11+V12+V13</f>
        <v>38</v>
      </c>
      <c r="W9" s="332">
        <f>W10+W11+W12+W13</f>
        <v>55</v>
      </c>
      <c r="X9" s="336">
        <f>T9/P9*100</f>
        <v>47.722079405884031</v>
      </c>
      <c r="Y9" s="336">
        <f>U9/Q9*100</f>
        <v>47.581227436823106</v>
      </c>
      <c r="Z9" s="336">
        <f>V9/R9*100</f>
        <v>76</v>
      </c>
      <c r="AA9" s="336">
        <f>W9/S9*100</f>
        <v>52.884615384615387</v>
      </c>
      <c r="AB9" s="678">
        <v>25253743.699999999</v>
      </c>
      <c r="AC9" s="337">
        <v>30</v>
      </c>
    </row>
    <row r="10" spans="1:29" ht="15" customHeight="1">
      <c r="A10" s="679">
        <v>1</v>
      </c>
      <c r="B10" s="338" t="s">
        <v>197</v>
      </c>
      <c r="C10" s="338" t="s">
        <v>198</v>
      </c>
      <c r="D10" s="379">
        <f t="shared" ref="D10:D13" si="1">SUM(E10:G10)</f>
        <v>17</v>
      </c>
      <c r="E10" s="339">
        <v>6</v>
      </c>
      <c r="F10" s="339">
        <v>10</v>
      </c>
      <c r="G10" s="339">
        <v>1</v>
      </c>
      <c r="H10" s="331">
        <f t="shared" ref="H10:H19" si="2">I10+J10+K10</f>
        <v>12</v>
      </c>
      <c r="I10" s="340">
        <v>10</v>
      </c>
      <c r="J10" s="340">
        <v>2</v>
      </c>
      <c r="K10" s="340"/>
      <c r="L10" s="333">
        <f>H10/D10*100</f>
        <v>70.588235294117652</v>
      </c>
      <c r="M10" s="333">
        <f>I10/E10*100</f>
        <v>166.66666666666669</v>
      </c>
      <c r="N10" s="333">
        <f>J10/F10*100</f>
        <v>20</v>
      </c>
      <c r="O10" s="333">
        <f t="shared" ref="O10:O20" si="3">K10/G10*100</f>
        <v>0</v>
      </c>
      <c r="P10" s="334">
        <f t="shared" ref="P10:P20" si="4">SUM(Q10:S10)</f>
        <v>1005</v>
      </c>
      <c r="Q10" s="341">
        <v>950</v>
      </c>
      <c r="R10" s="341">
        <v>50</v>
      </c>
      <c r="S10" s="342">
        <v>5</v>
      </c>
      <c r="T10" s="332">
        <f t="shared" ref="T10:T19" si="5">U10+V10+W10</f>
        <v>699</v>
      </c>
      <c r="U10" s="340">
        <v>658</v>
      </c>
      <c r="V10" s="340">
        <v>38</v>
      </c>
      <c r="W10" s="343">
        <v>3</v>
      </c>
      <c r="X10" s="336">
        <f t="shared" ref="X10:X20" si="6">T10/P10*100</f>
        <v>69.552238805970148</v>
      </c>
      <c r="Y10" s="336">
        <f t="shared" ref="Y10:Y20" si="7">U10/Q10*100</f>
        <v>69.263157894736835</v>
      </c>
      <c r="Z10" s="336">
        <f t="shared" ref="Z10:Z20" si="8">V10/R10*100</f>
        <v>76</v>
      </c>
      <c r="AA10" s="336">
        <f t="shared" ref="AA10:AA20" si="9">W10/S10*100</f>
        <v>60</v>
      </c>
      <c r="AB10" s="344"/>
      <c r="AC10" s="345"/>
    </row>
    <row r="11" spans="1:29" ht="15" customHeight="1">
      <c r="A11" s="679">
        <v>2</v>
      </c>
      <c r="B11" s="338" t="s">
        <v>197</v>
      </c>
      <c r="C11" s="338" t="s">
        <v>199</v>
      </c>
      <c r="D11" s="379">
        <f t="shared" si="1"/>
        <v>70</v>
      </c>
      <c r="E11" s="346">
        <v>60</v>
      </c>
      <c r="F11" s="346"/>
      <c r="G11" s="346">
        <v>10</v>
      </c>
      <c r="H11" s="331">
        <f t="shared" si="2"/>
        <v>65</v>
      </c>
      <c r="I11" s="347">
        <v>63</v>
      </c>
      <c r="J11" s="347"/>
      <c r="K11" s="347">
        <v>2</v>
      </c>
      <c r="L11" s="333">
        <f t="shared" ref="L11:L16" si="10">H11/E11*100</f>
        <v>108.33333333333333</v>
      </c>
      <c r="M11" s="333">
        <f t="shared" ref="M11:M12" si="11">I11/E11*100</f>
        <v>105</v>
      </c>
      <c r="N11" s="333">
        <f t="shared" ref="N11:N20" si="12">J11/G11*100</f>
        <v>0</v>
      </c>
      <c r="O11" s="333">
        <f t="shared" si="3"/>
        <v>20</v>
      </c>
      <c r="P11" s="334">
        <f t="shared" si="4"/>
        <v>10099</v>
      </c>
      <c r="Q11" s="348">
        <v>10000</v>
      </c>
      <c r="R11" s="348"/>
      <c r="S11" s="342">
        <v>99</v>
      </c>
      <c r="T11" s="332">
        <f t="shared" si="5"/>
        <v>4792</v>
      </c>
      <c r="U11" s="347">
        <v>4741</v>
      </c>
      <c r="V11" s="347"/>
      <c r="W11" s="349">
        <v>51</v>
      </c>
      <c r="X11" s="336">
        <f t="shared" si="6"/>
        <v>47.450242598277057</v>
      </c>
      <c r="Y11" s="336">
        <f t="shared" si="7"/>
        <v>47.410000000000004</v>
      </c>
      <c r="Z11" s="336" t="e">
        <f t="shared" si="8"/>
        <v>#DIV/0!</v>
      </c>
      <c r="AA11" s="336">
        <f t="shared" si="9"/>
        <v>51.515151515151516</v>
      </c>
      <c r="AB11" s="350"/>
      <c r="AC11" s="345"/>
    </row>
    <row r="12" spans="1:29" ht="15" customHeight="1">
      <c r="A12" s="679">
        <v>3</v>
      </c>
      <c r="B12" s="338" t="s">
        <v>1877</v>
      </c>
      <c r="C12" s="338" t="s">
        <v>201</v>
      </c>
      <c r="D12" s="379">
        <f t="shared" si="1"/>
        <v>22</v>
      </c>
      <c r="E12" s="339">
        <v>22</v>
      </c>
      <c r="F12" s="339"/>
      <c r="G12" s="339"/>
      <c r="H12" s="331">
        <f>I12+J12+K12</f>
        <v>16</v>
      </c>
      <c r="I12" s="340">
        <v>16</v>
      </c>
      <c r="J12" s="340"/>
      <c r="K12" s="340"/>
      <c r="L12" s="333">
        <f t="shared" si="10"/>
        <v>72.727272727272734</v>
      </c>
      <c r="M12" s="333">
        <f t="shared" si="11"/>
        <v>72.727272727272734</v>
      </c>
      <c r="N12" s="333"/>
      <c r="O12" s="333" t="e">
        <f t="shared" si="3"/>
        <v>#DIV/0!</v>
      </c>
      <c r="P12" s="334">
        <f t="shared" si="4"/>
        <v>2900</v>
      </c>
      <c r="Q12" s="341">
        <v>2900</v>
      </c>
      <c r="R12" s="341"/>
      <c r="S12" s="342"/>
      <c r="T12" s="332">
        <f t="shared" si="5"/>
        <v>1192</v>
      </c>
      <c r="U12" s="340">
        <v>1191</v>
      </c>
      <c r="V12" s="340"/>
      <c r="W12" s="343">
        <v>1</v>
      </c>
      <c r="X12" s="336">
        <f t="shared" si="6"/>
        <v>41.103448275862071</v>
      </c>
      <c r="Y12" s="336">
        <f t="shared" si="7"/>
        <v>41.068965517241381</v>
      </c>
      <c r="Z12" s="336" t="e">
        <f t="shared" si="8"/>
        <v>#DIV/0!</v>
      </c>
      <c r="AA12" s="336" t="e">
        <f t="shared" si="9"/>
        <v>#DIV/0!</v>
      </c>
      <c r="AB12" s="344"/>
      <c r="AC12" s="345"/>
    </row>
    <row r="13" spans="1:29" ht="15" customHeight="1">
      <c r="A13" s="679">
        <v>4</v>
      </c>
      <c r="B13" s="338" t="s">
        <v>200</v>
      </c>
      <c r="C13" s="338" t="s">
        <v>201</v>
      </c>
      <c r="D13" s="379">
        <f t="shared" si="1"/>
        <v>0</v>
      </c>
      <c r="E13" s="339"/>
      <c r="F13" s="339"/>
      <c r="G13" s="339"/>
      <c r="H13" s="331"/>
      <c r="I13" s="351"/>
      <c r="J13" s="351"/>
      <c r="K13" s="351"/>
      <c r="L13" s="333"/>
      <c r="M13" s="333"/>
      <c r="N13" s="333"/>
      <c r="O13" s="333" t="e">
        <f t="shared" si="3"/>
        <v>#DIV/0!</v>
      </c>
      <c r="P13" s="334"/>
      <c r="Q13" s="341"/>
      <c r="R13" s="341"/>
      <c r="S13" s="352"/>
      <c r="T13" s="332">
        <f t="shared" si="5"/>
        <v>0</v>
      </c>
      <c r="U13" s="351"/>
      <c r="V13" s="351"/>
      <c r="W13" s="351"/>
      <c r="X13" s="336" t="e">
        <f t="shared" si="6"/>
        <v>#DIV/0!</v>
      </c>
      <c r="Y13" s="336" t="e">
        <f t="shared" si="7"/>
        <v>#DIV/0!</v>
      </c>
      <c r="Z13" s="336" t="e">
        <f t="shared" si="8"/>
        <v>#DIV/0!</v>
      </c>
      <c r="AA13" s="336" t="e">
        <f t="shared" si="9"/>
        <v>#DIV/0!</v>
      </c>
      <c r="AB13" s="351"/>
      <c r="AC13" s="353"/>
    </row>
    <row r="14" spans="1:29" ht="27.75" customHeight="1">
      <c r="A14" s="680"/>
      <c r="B14" s="327">
        <v>2</v>
      </c>
      <c r="C14" s="354" t="s">
        <v>1878</v>
      </c>
      <c r="D14" s="329">
        <f>SUM(E14:G14)</f>
        <v>13</v>
      </c>
      <c r="E14" s="330">
        <f>SUM(E15:E17)</f>
        <v>13</v>
      </c>
      <c r="F14" s="330">
        <f t="shared" ref="F14:G14" si="13">SUM(F15:F17)</f>
        <v>0</v>
      </c>
      <c r="G14" s="330">
        <f t="shared" si="13"/>
        <v>0</v>
      </c>
      <c r="H14" s="331">
        <f>H15+H16+H17</f>
        <v>13</v>
      </c>
      <c r="I14" s="332">
        <v>13</v>
      </c>
      <c r="J14" s="332"/>
      <c r="K14" s="332"/>
      <c r="L14" s="333">
        <f t="shared" si="10"/>
        <v>100</v>
      </c>
      <c r="M14" s="333">
        <f>I14/E14*100</f>
        <v>100</v>
      </c>
      <c r="N14" s="333"/>
      <c r="O14" s="333" t="e">
        <f t="shared" si="3"/>
        <v>#DIV/0!</v>
      </c>
      <c r="P14" s="334">
        <f>SUM(Q14:S14)</f>
        <v>4881</v>
      </c>
      <c r="Q14" s="334">
        <f>SUM(Q15:Q17)</f>
        <v>4871</v>
      </c>
      <c r="R14" s="334">
        <f>SUM(R15:R17)</f>
        <v>10</v>
      </c>
      <c r="S14" s="334">
        <f>SUM(S15:S17)</f>
        <v>0</v>
      </c>
      <c r="T14" s="332">
        <f t="shared" si="5"/>
        <v>2158</v>
      </c>
      <c r="U14" s="332">
        <v>2158</v>
      </c>
      <c r="V14" s="332"/>
      <c r="W14" s="332"/>
      <c r="X14" s="336">
        <f t="shared" si="6"/>
        <v>44.212251587789389</v>
      </c>
      <c r="Y14" s="336">
        <f t="shared" si="7"/>
        <v>44.303017860808872</v>
      </c>
      <c r="Z14" s="336">
        <f t="shared" si="8"/>
        <v>0</v>
      </c>
      <c r="AA14" s="336" t="e">
        <f t="shared" si="9"/>
        <v>#DIV/0!</v>
      </c>
      <c r="AB14" s="332"/>
      <c r="AC14" s="337"/>
    </row>
    <row r="15" spans="1:29" ht="15" customHeight="1">
      <c r="A15" s="679">
        <v>5</v>
      </c>
      <c r="B15" s="338" t="s">
        <v>202</v>
      </c>
      <c r="C15" s="338" t="s">
        <v>318</v>
      </c>
      <c r="D15" s="329">
        <f t="shared" ref="D15:D17" si="14">SUM(E15:G15)</f>
        <v>11</v>
      </c>
      <c r="E15" s="339">
        <v>11</v>
      </c>
      <c r="F15" s="339">
        <v>0</v>
      </c>
      <c r="G15" s="339">
        <v>0</v>
      </c>
      <c r="H15" s="331">
        <f t="shared" si="2"/>
        <v>7</v>
      </c>
      <c r="I15" s="351">
        <v>7</v>
      </c>
      <c r="J15" s="351"/>
      <c r="K15" s="351"/>
      <c r="L15" s="333">
        <f t="shared" si="10"/>
        <v>63.636363636363633</v>
      </c>
      <c r="M15" s="333">
        <f>I15/E15*100</f>
        <v>63.636363636363633</v>
      </c>
      <c r="N15" s="333"/>
      <c r="O15" s="333" t="e">
        <f t="shared" si="3"/>
        <v>#DIV/0!</v>
      </c>
      <c r="P15" s="334">
        <f t="shared" ref="P15:P17" si="15">SUM(Q15:S15)</f>
        <v>4027</v>
      </c>
      <c r="Q15" s="341">
        <v>4017</v>
      </c>
      <c r="R15" s="341">
        <v>10</v>
      </c>
      <c r="S15" s="352"/>
      <c r="T15" s="332">
        <f t="shared" si="5"/>
        <v>1197</v>
      </c>
      <c r="U15" s="351">
        <v>1197</v>
      </c>
      <c r="V15" s="351"/>
      <c r="W15" s="351"/>
      <c r="X15" s="336">
        <f t="shared" si="6"/>
        <v>29.724360566178298</v>
      </c>
      <c r="Y15" s="336">
        <f t="shared" si="7"/>
        <v>29.798356982823005</v>
      </c>
      <c r="Z15" s="336">
        <f t="shared" si="8"/>
        <v>0</v>
      </c>
      <c r="AA15" s="336" t="e">
        <f t="shared" si="9"/>
        <v>#DIV/0!</v>
      </c>
      <c r="AB15" s="351"/>
      <c r="AC15" s="345"/>
    </row>
    <row r="16" spans="1:29" ht="15" customHeight="1">
      <c r="A16" s="679">
        <v>6</v>
      </c>
      <c r="B16" s="338" t="s">
        <v>202</v>
      </c>
      <c r="C16" s="338" t="s">
        <v>319</v>
      </c>
      <c r="D16" s="329">
        <f t="shared" si="14"/>
        <v>2</v>
      </c>
      <c r="E16" s="339">
        <v>2</v>
      </c>
      <c r="F16" s="339">
        <v>0</v>
      </c>
      <c r="G16" s="339">
        <v>0</v>
      </c>
      <c r="H16" s="331">
        <f t="shared" si="2"/>
        <v>6</v>
      </c>
      <c r="I16" s="351">
        <v>6</v>
      </c>
      <c r="J16" s="351"/>
      <c r="K16" s="351"/>
      <c r="L16" s="333">
        <f t="shared" si="10"/>
        <v>300</v>
      </c>
      <c r="M16" s="333">
        <f>I16/E16*100</f>
        <v>300</v>
      </c>
      <c r="N16" s="333"/>
      <c r="O16" s="333" t="e">
        <f t="shared" si="3"/>
        <v>#DIV/0!</v>
      </c>
      <c r="P16" s="334">
        <f t="shared" si="15"/>
        <v>854</v>
      </c>
      <c r="Q16" s="341">
        <v>854</v>
      </c>
      <c r="R16" s="341"/>
      <c r="S16" s="352"/>
      <c r="T16" s="332">
        <f t="shared" si="5"/>
        <v>961</v>
      </c>
      <c r="U16" s="351">
        <v>961</v>
      </c>
      <c r="V16" s="351"/>
      <c r="W16" s="351"/>
      <c r="X16" s="336">
        <f t="shared" si="6"/>
        <v>112.52927400468384</v>
      </c>
      <c r="Y16" s="336">
        <f t="shared" si="7"/>
        <v>112.52927400468384</v>
      </c>
      <c r="Z16" s="336" t="e">
        <f t="shared" si="8"/>
        <v>#DIV/0!</v>
      </c>
      <c r="AA16" s="336" t="e">
        <f t="shared" si="9"/>
        <v>#DIV/0!</v>
      </c>
      <c r="AB16" s="351"/>
      <c r="AC16" s="345"/>
    </row>
    <row r="17" spans="1:29" ht="15" customHeight="1">
      <c r="A17" s="679">
        <v>7</v>
      </c>
      <c r="B17" s="338" t="s">
        <v>203</v>
      </c>
      <c r="C17" s="338" t="s">
        <v>320</v>
      </c>
      <c r="D17" s="329">
        <f t="shared" si="14"/>
        <v>0</v>
      </c>
      <c r="E17" s="355"/>
      <c r="F17" s="355"/>
      <c r="G17" s="355"/>
      <c r="H17" s="331">
        <f t="shared" si="2"/>
        <v>0</v>
      </c>
      <c r="I17" s="351"/>
      <c r="J17" s="351"/>
      <c r="K17" s="351"/>
      <c r="L17" s="333"/>
      <c r="M17" s="333"/>
      <c r="N17" s="333"/>
      <c r="O17" s="333" t="e">
        <f t="shared" si="3"/>
        <v>#DIV/0!</v>
      </c>
      <c r="P17" s="334">
        <f t="shared" si="15"/>
        <v>0</v>
      </c>
      <c r="Q17" s="356"/>
      <c r="R17" s="356"/>
      <c r="S17" s="357"/>
      <c r="T17" s="332">
        <f t="shared" si="5"/>
        <v>0</v>
      </c>
      <c r="U17" s="351"/>
      <c r="V17" s="351"/>
      <c r="W17" s="351"/>
      <c r="X17" s="336" t="e">
        <f t="shared" si="6"/>
        <v>#DIV/0!</v>
      </c>
      <c r="Y17" s="336" t="e">
        <f t="shared" si="7"/>
        <v>#DIV/0!</v>
      </c>
      <c r="Z17" s="336" t="e">
        <f t="shared" si="8"/>
        <v>#DIV/0!</v>
      </c>
      <c r="AA17" s="336" t="e">
        <f t="shared" si="9"/>
        <v>#DIV/0!</v>
      </c>
      <c r="AB17" s="358"/>
      <c r="AC17" s="359"/>
    </row>
    <row r="18" spans="1:29" ht="27" customHeight="1">
      <c r="A18" s="679"/>
      <c r="B18" s="681">
        <v>3</v>
      </c>
      <c r="C18" s="682" t="s">
        <v>1879</v>
      </c>
      <c r="D18" s="360">
        <v>0</v>
      </c>
      <c r="E18" s="360">
        <v>0</v>
      </c>
      <c r="F18" s="360">
        <v>0</v>
      </c>
      <c r="G18" s="360">
        <v>0</v>
      </c>
      <c r="H18" s="331">
        <f t="shared" si="2"/>
        <v>0</v>
      </c>
      <c r="I18" s="361"/>
      <c r="J18" s="361"/>
      <c r="K18" s="361"/>
      <c r="L18" s="333"/>
      <c r="M18" s="333"/>
      <c r="N18" s="333"/>
      <c r="O18" s="333" t="e">
        <f t="shared" si="3"/>
        <v>#DIV/0!</v>
      </c>
      <c r="P18" s="334">
        <f t="shared" si="4"/>
        <v>0</v>
      </c>
      <c r="Q18" s="362">
        <v>0</v>
      </c>
      <c r="R18" s="362">
        <v>0</v>
      </c>
      <c r="S18" s="363">
        <v>0</v>
      </c>
      <c r="T18" s="332">
        <f t="shared" si="5"/>
        <v>0</v>
      </c>
      <c r="U18" s="361"/>
      <c r="V18" s="361"/>
      <c r="W18" s="318"/>
      <c r="X18" s="336" t="e">
        <f t="shared" si="6"/>
        <v>#DIV/0!</v>
      </c>
      <c r="Y18" s="336" t="e">
        <f t="shared" si="7"/>
        <v>#DIV/0!</v>
      </c>
      <c r="Z18" s="336" t="e">
        <f t="shared" si="8"/>
        <v>#DIV/0!</v>
      </c>
      <c r="AA18" s="336" t="e">
        <f t="shared" si="9"/>
        <v>#DIV/0!</v>
      </c>
      <c r="AB18" s="364"/>
      <c r="AC18" s="365"/>
    </row>
    <row r="19" spans="1:29" ht="15" customHeight="1">
      <c r="A19" s="679">
        <v>8</v>
      </c>
      <c r="B19" s="366" t="s">
        <v>204</v>
      </c>
      <c r="C19" s="364"/>
      <c r="D19" s="367"/>
      <c r="E19" s="367"/>
      <c r="F19" s="367"/>
      <c r="G19" s="367"/>
      <c r="H19" s="331">
        <f t="shared" si="2"/>
        <v>0</v>
      </c>
      <c r="I19" s="368"/>
      <c r="J19" s="368"/>
      <c r="K19" s="368"/>
      <c r="L19" s="333"/>
      <c r="M19" s="333"/>
      <c r="N19" s="333"/>
      <c r="O19" s="333" t="e">
        <f t="shared" si="3"/>
        <v>#DIV/0!</v>
      </c>
      <c r="P19" s="334">
        <f t="shared" si="4"/>
        <v>0</v>
      </c>
      <c r="Q19" s="369"/>
      <c r="R19" s="369"/>
      <c r="S19" s="370"/>
      <c r="T19" s="332">
        <f t="shared" si="5"/>
        <v>0</v>
      </c>
      <c r="U19" s="368"/>
      <c r="V19" s="368"/>
      <c r="W19" s="371"/>
      <c r="X19" s="336" t="e">
        <f t="shared" si="6"/>
        <v>#DIV/0!</v>
      </c>
      <c r="Y19" s="336" t="e">
        <f t="shared" si="7"/>
        <v>#DIV/0!</v>
      </c>
      <c r="Z19" s="336" t="e">
        <f t="shared" si="8"/>
        <v>#DIV/0!</v>
      </c>
      <c r="AA19" s="336" t="e">
        <f t="shared" si="9"/>
        <v>#DIV/0!</v>
      </c>
      <c r="AB19" s="372"/>
      <c r="AC19" s="373"/>
    </row>
    <row r="20" spans="1:29" ht="15">
      <c r="A20" s="326"/>
      <c r="B20" s="2291" t="s">
        <v>90</v>
      </c>
      <c r="C20" s="2291"/>
      <c r="D20" s="374">
        <f>+D9+D14</f>
        <v>122</v>
      </c>
      <c r="E20" s="374">
        <f t="shared" ref="E20:K20" si="16">+E9+E14</f>
        <v>101</v>
      </c>
      <c r="F20" s="374">
        <f t="shared" si="16"/>
        <v>10</v>
      </c>
      <c r="G20" s="374">
        <f t="shared" si="16"/>
        <v>11</v>
      </c>
      <c r="H20" s="374">
        <f t="shared" si="16"/>
        <v>106</v>
      </c>
      <c r="I20" s="374">
        <f t="shared" si="16"/>
        <v>102</v>
      </c>
      <c r="J20" s="374">
        <f t="shared" si="16"/>
        <v>2</v>
      </c>
      <c r="K20" s="374">
        <f t="shared" si="16"/>
        <v>2</v>
      </c>
      <c r="L20" s="375">
        <f>H20/D20*100</f>
        <v>86.885245901639337</v>
      </c>
      <c r="M20" s="333">
        <f>I20/E20*100</f>
        <v>100.99009900990099</v>
      </c>
      <c r="N20" s="333">
        <f t="shared" si="12"/>
        <v>18.181818181818183</v>
      </c>
      <c r="O20" s="333">
        <f t="shared" si="3"/>
        <v>18.181818181818183</v>
      </c>
      <c r="P20" s="334">
        <f t="shared" si="4"/>
        <v>18885</v>
      </c>
      <c r="Q20" s="376">
        <v>18721</v>
      </c>
      <c r="R20" s="376">
        <v>60</v>
      </c>
      <c r="S20" s="376">
        <v>104</v>
      </c>
      <c r="T20" s="332">
        <f>T14+T9</f>
        <v>8841</v>
      </c>
      <c r="U20" s="332">
        <f t="shared" ref="U20:W20" si="17">U14+U9</f>
        <v>8748</v>
      </c>
      <c r="V20" s="332">
        <f t="shared" si="17"/>
        <v>38</v>
      </c>
      <c r="W20" s="332">
        <f t="shared" si="17"/>
        <v>55</v>
      </c>
      <c r="X20" s="336">
        <f t="shared" si="6"/>
        <v>46.814932486100084</v>
      </c>
      <c r="Y20" s="336">
        <f t="shared" si="7"/>
        <v>46.728273062336413</v>
      </c>
      <c r="Z20" s="336">
        <f t="shared" si="8"/>
        <v>63.333333333333329</v>
      </c>
      <c r="AA20" s="336">
        <f t="shared" si="9"/>
        <v>52.884615384615387</v>
      </c>
      <c r="AB20" s="377">
        <f>+AB9</f>
        <v>25253743.699999999</v>
      </c>
      <c r="AC20" s="378">
        <f>+AC9</f>
        <v>30</v>
      </c>
    </row>
  </sheetData>
  <mergeCells count="22">
    <mergeCell ref="A1:C1"/>
    <mergeCell ref="D1:AC1"/>
    <mergeCell ref="A2:C2"/>
    <mergeCell ref="D2:AC2"/>
    <mergeCell ref="A3:C3"/>
    <mergeCell ref="D3:AC3"/>
    <mergeCell ref="B20:C20"/>
    <mergeCell ref="A4:C4"/>
    <mergeCell ref="D4:AC4"/>
    <mergeCell ref="C6:C7"/>
    <mergeCell ref="D6:K6"/>
    <mergeCell ref="P6:W6"/>
    <mergeCell ref="AB6:AB8"/>
    <mergeCell ref="AC6:AC8"/>
    <mergeCell ref="D7:G7"/>
    <mergeCell ref="H7:K7"/>
    <mergeCell ref="L7:O7"/>
    <mergeCell ref="P7:S7"/>
    <mergeCell ref="T7:W7"/>
    <mergeCell ref="X7:AA7"/>
    <mergeCell ref="B6:B7"/>
    <mergeCell ref="A6:A7"/>
  </mergeCells>
  <phoneticPr fontId="10" type="noConversion"/>
  <pageMargins left="0.23622047244094499" right="0.23622047244094499" top="0.35433070866141703" bottom="0.35433070866141703" header="0.31496062992126" footer="0.31496062992126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67"/>
  <sheetViews>
    <sheetView view="pageBreakPreview" workbookViewId="0">
      <selection activeCell="K55" sqref="K55"/>
    </sheetView>
  </sheetViews>
  <sheetFormatPr defaultRowHeight="12.75"/>
  <cols>
    <col min="1" max="1" width="9" style="9" bestFit="1" customWidth="1"/>
    <col min="2" max="2" width="43.140625" style="9" customWidth="1"/>
    <col min="3" max="3" width="5.140625" style="9" customWidth="1"/>
    <col min="4" max="4" width="11.28515625" style="9" bestFit="1" customWidth="1"/>
    <col min="5" max="5" width="8.140625" style="9" customWidth="1"/>
    <col min="6" max="6" width="8" style="9" bestFit="1" customWidth="1"/>
    <col min="7" max="7" width="8" style="1629" bestFit="1" customWidth="1"/>
    <col min="8" max="8" width="10" style="1629" bestFit="1" customWidth="1"/>
    <col min="9" max="16384" width="9.140625" style="10"/>
  </cols>
  <sheetData>
    <row r="1" spans="1:8" s="25" customFormat="1">
      <c r="A1" s="110"/>
      <c r="B1" s="111" t="s">
        <v>208</v>
      </c>
      <c r="C1" s="2309" t="s">
        <v>1852</v>
      </c>
      <c r="D1" s="2310"/>
      <c r="E1" s="2310"/>
      <c r="F1" s="2310"/>
      <c r="G1" s="2310"/>
      <c r="H1" s="1639"/>
    </row>
    <row r="2" spans="1:8" s="25" customFormat="1">
      <c r="A2" s="110"/>
      <c r="B2" s="111" t="s">
        <v>209</v>
      </c>
      <c r="C2" s="2309">
        <v>17878735</v>
      </c>
      <c r="D2" s="2310"/>
      <c r="E2" s="2310"/>
      <c r="F2" s="2310"/>
      <c r="G2" s="2310"/>
      <c r="H2" s="1639"/>
    </row>
    <row r="3" spans="1:8" s="25" customFormat="1">
      <c r="A3" s="110"/>
      <c r="B3" s="111"/>
      <c r="C3" s="2311" t="s">
        <v>2037</v>
      </c>
      <c r="D3" s="2312"/>
      <c r="E3" s="2312"/>
      <c r="F3" s="2312"/>
      <c r="G3" s="2312"/>
      <c r="H3" s="1639"/>
    </row>
    <row r="4" spans="1:8" s="25" customFormat="1" ht="14.25">
      <c r="A4" s="110"/>
      <c r="B4" s="111" t="s">
        <v>210</v>
      </c>
      <c r="C4" s="1615" t="s">
        <v>317</v>
      </c>
      <c r="D4" s="199"/>
      <c r="E4" s="199"/>
      <c r="F4" s="199"/>
      <c r="G4" s="199"/>
      <c r="H4" s="1616"/>
    </row>
    <row r="5" spans="1:8" s="25" customFormat="1">
      <c r="A5" s="1625"/>
      <c r="B5" s="1625"/>
      <c r="C5" s="1640"/>
      <c r="D5" s="1640"/>
      <c r="E5" s="1640"/>
      <c r="F5" s="1640"/>
      <c r="G5" s="1640"/>
      <c r="H5" s="1640"/>
    </row>
    <row r="6" spans="1:8" s="25" customFormat="1" ht="12.75" customHeight="1">
      <c r="A6" s="2320" t="s">
        <v>55</v>
      </c>
      <c r="B6" s="2321" t="s">
        <v>256</v>
      </c>
      <c r="C6" s="2319" t="s">
        <v>343</v>
      </c>
      <c r="D6" s="2319" t="s">
        <v>324</v>
      </c>
      <c r="E6" s="2322" t="s">
        <v>90</v>
      </c>
      <c r="F6" s="2322"/>
      <c r="G6" s="2322"/>
      <c r="H6" s="2322"/>
    </row>
    <row r="7" spans="1:8" s="27" customFormat="1" ht="12.75" customHeight="1">
      <c r="A7" s="2320"/>
      <c r="B7" s="2321"/>
      <c r="C7" s="2319"/>
      <c r="D7" s="2319"/>
      <c r="E7" s="2323" t="s">
        <v>368</v>
      </c>
      <c r="F7" s="2324"/>
      <c r="G7" s="2323" t="s">
        <v>1819</v>
      </c>
      <c r="H7" s="2324"/>
    </row>
    <row r="8" spans="1:8" s="27" customFormat="1" ht="22.5">
      <c r="A8" s="2320"/>
      <c r="B8" s="2321"/>
      <c r="C8" s="2319"/>
      <c r="D8" s="2319"/>
      <c r="E8" s="197" t="s">
        <v>15</v>
      </c>
      <c r="F8" s="197" t="s">
        <v>52</v>
      </c>
      <c r="G8" s="197" t="s">
        <v>15</v>
      </c>
      <c r="H8" s="197" t="s">
        <v>52</v>
      </c>
    </row>
    <row r="9" spans="1:8" s="27" customFormat="1" ht="25.5" customHeight="1">
      <c r="A9" s="152"/>
      <c r="B9" s="2313" t="s">
        <v>357</v>
      </c>
      <c r="C9" s="2314"/>
      <c r="D9" s="2314"/>
      <c r="E9" s="2314"/>
      <c r="F9" s="2314"/>
      <c r="G9" s="2314"/>
      <c r="H9" s="2315"/>
    </row>
    <row r="10" spans="1:8" s="11" customFormat="1">
      <c r="A10" s="1626">
        <v>540100</v>
      </c>
      <c r="B10" s="1627" t="s">
        <v>283</v>
      </c>
      <c r="C10" s="1626" t="s">
        <v>284</v>
      </c>
      <c r="D10" s="1630">
        <v>11.2</v>
      </c>
      <c r="E10" s="1617"/>
      <c r="F10" s="1617">
        <f t="shared" ref="F10:F36" si="0">D10*E10</f>
        <v>0</v>
      </c>
      <c r="G10" s="1617"/>
      <c r="H10" s="1631">
        <f t="shared" ref="H10:H36" si="1">D10*G10</f>
        <v>0</v>
      </c>
    </row>
    <row r="11" spans="1:8" s="11" customFormat="1">
      <c r="A11" s="1626">
        <v>540101</v>
      </c>
      <c r="B11" s="1627" t="s">
        <v>285</v>
      </c>
      <c r="C11" s="1626" t="s">
        <v>284</v>
      </c>
      <c r="D11" s="1630">
        <v>13.72</v>
      </c>
      <c r="E11" s="1617"/>
      <c r="F11" s="1617">
        <f t="shared" si="0"/>
        <v>0</v>
      </c>
      <c r="G11" s="1617"/>
      <c r="H11" s="1631">
        <f t="shared" si="1"/>
        <v>0</v>
      </c>
    </row>
    <row r="12" spans="1:8" s="11" customFormat="1">
      <c r="A12" s="1626">
        <v>540102</v>
      </c>
      <c r="B12" s="1627" t="s">
        <v>286</v>
      </c>
      <c r="C12" s="1626" t="s">
        <v>284</v>
      </c>
      <c r="D12" s="1630">
        <v>17.190000000000001</v>
      </c>
      <c r="E12" s="1617"/>
      <c r="F12" s="1617">
        <f t="shared" si="0"/>
        <v>0</v>
      </c>
      <c r="G12" s="1617"/>
      <c r="H12" s="1631">
        <f t="shared" si="1"/>
        <v>0</v>
      </c>
    </row>
    <row r="13" spans="1:8" s="11" customFormat="1">
      <c r="A13" s="1626">
        <v>540103</v>
      </c>
      <c r="B13" s="1627" t="s">
        <v>287</v>
      </c>
      <c r="C13" s="1626" t="s">
        <v>284</v>
      </c>
      <c r="D13" s="1630">
        <v>14.17</v>
      </c>
      <c r="E13" s="1617"/>
      <c r="F13" s="1617">
        <f t="shared" si="0"/>
        <v>0</v>
      </c>
      <c r="G13" s="1617"/>
      <c r="H13" s="1631">
        <f t="shared" si="1"/>
        <v>0</v>
      </c>
    </row>
    <row r="14" spans="1:8" s="11" customFormat="1">
      <c r="A14" s="1626">
        <v>540104</v>
      </c>
      <c r="B14" s="1627" t="s">
        <v>288</v>
      </c>
      <c r="C14" s="1626" t="s">
        <v>284</v>
      </c>
      <c r="D14" s="1630">
        <v>11.46</v>
      </c>
      <c r="E14" s="1617"/>
      <c r="F14" s="1617">
        <f t="shared" si="0"/>
        <v>0</v>
      </c>
      <c r="G14" s="1617"/>
      <c r="H14" s="1631">
        <f t="shared" si="1"/>
        <v>0</v>
      </c>
    </row>
    <row r="15" spans="1:8" s="11" customFormat="1" ht="22.5">
      <c r="A15" s="1626">
        <v>540105</v>
      </c>
      <c r="B15" s="1627" t="s">
        <v>289</v>
      </c>
      <c r="C15" s="1626" t="s">
        <v>284</v>
      </c>
      <c r="D15" s="1630">
        <v>12.08</v>
      </c>
      <c r="E15" s="1617"/>
      <c r="F15" s="1617">
        <f t="shared" si="0"/>
        <v>0</v>
      </c>
      <c r="G15" s="1617"/>
      <c r="H15" s="1631">
        <f t="shared" si="1"/>
        <v>0</v>
      </c>
    </row>
    <row r="16" spans="1:8" s="11" customFormat="1">
      <c r="A16" s="1626">
        <v>560100</v>
      </c>
      <c r="B16" s="1627" t="s">
        <v>290</v>
      </c>
      <c r="C16" s="1626" t="s">
        <v>284</v>
      </c>
      <c r="D16" s="1630">
        <v>11.2</v>
      </c>
      <c r="E16" s="1617"/>
      <c r="F16" s="1617">
        <f t="shared" si="0"/>
        <v>0</v>
      </c>
      <c r="G16" s="1617">
        <v>4693</v>
      </c>
      <c r="H16" s="1631">
        <f t="shared" si="1"/>
        <v>52561.599999999999</v>
      </c>
    </row>
    <row r="17" spans="1:8" s="11" customFormat="1" ht="22.5">
      <c r="A17" s="1626">
        <v>560101</v>
      </c>
      <c r="B17" s="1627" t="s">
        <v>291</v>
      </c>
      <c r="C17" s="1626" t="s">
        <v>284</v>
      </c>
      <c r="D17" s="1630" t="s">
        <v>292</v>
      </c>
      <c r="E17" s="1617"/>
      <c r="F17" s="1617"/>
      <c r="G17" s="1617"/>
      <c r="H17" s="1631"/>
    </row>
    <row r="18" spans="1:8" s="11" customFormat="1">
      <c r="A18" s="1626">
        <v>560200</v>
      </c>
      <c r="B18" s="1627" t="s">
        <v>293</v>
      </c>
      <c r="C18" s="1626" t="s">
        <v>284</v>
      </c>
      <c r="D18" s="1630">
        <v>17.27</v>
      </c>
      <c r="E18" s="1631">
        <v>635</v>
      </c>
      <c r="F18" s="1631">
        <f>635*27.55</f>
        <v>17494.25</v>
      </c>
      <c r="G18" s="1617">
        <v>1260</v>
      </c>
      <c r="H18" s="1631">
        <f t="shared" si="1"/>
        <v>21760.2</v>
      </c>
    </row>
    <row r="19" spans="1:8" s="11" customFormat="1">
      <c r="A19" s="1626">
        <v>560800</v>
      </c>
      <c r="B19" s="1627" t="s">
        <v>294</v>
      </c>
      <c r="C19" s="1626" t="s">
        <v>284</v>
      </c>
      <c r="D19" s="1630">
        <v>18.78</v>
      </c>
      <c r="E19" s="1631">
        <v>1455</v>
      </c>
      <c r="F19" s="1631">
        <f>1455*23.61</f>
        <v>34352.549999999996</v>
      </c>
      <c r="G19" s="1617"/>
      <c r="H19" s="1631">
        <f t="shared" si="1"/>
        <v>0</v>
      </c>
    </row>
    <row r="20" spans="1:8" s="11" customFormat="1">
      <c r="A20" s="1626">
        <v>560300</v>
      </c>
      <c r="B20" s="1627" t="s">
        <v>295</v>
      </c>
      <c r="C20" s="1626" t="s">
        <v>284</v>
      </c>
      <c r="D20" s="1630">
        <v>12.08</v>
      </c>
      <c r="E20" s="1631"/>
      <c r="F20" s="1617"/>
      <c r="G20" s="1617">
        <v>19365</v>
      </c>
      <c r="H20" s="1631">
        <f t="shared" si="1"/>
        <v>233929.2</v>
      </c>
    </row>
    <row r="21" spans="1:8" s="11" customFormat="1">
      <c r="A21" s="1626">
        <v>560102</v>
      </c>
      <c r="B21" s="1627" t="s">
        <v>296</v>
      </c>
      <c r="C21" s="1626" t="s">
        <v>284</v>
      </c>
      <c r="D21" s="1630">
        <v>19.89</v>
      </c>
      <c r="E21" s="1631"/>
      <c r="F21" s="1617"/>
      <c r="G21" s="1617"/>
      <c r="H21" s="1631">
        <f t="shared" si="1"/>
        <v>0</v>
      </c>
    </row>
    <row r="22" spans="1:8" s="11" customFormat="1" ht="22.5">
      <c r="A22" s="1626">
        <v>560301</v>
      </c>
      <c r="B22" s="1627" t="s">
        <v>297</v>
      </c>
      <c r="C22" s="1626" t="s">
        <v>284</v>
      </c>
      <c r="D22" s="1630">
        <v>13.31</v>
      </c>
      <c r="E22" s="1631"/>
      <c r="F22" s="1617"/>
      <c r="G22" s="1617"/>
      <c r="H22" s="1631">
        <f t="shared" si="1"/>
        <v>0</v>
      </c>
    </row>
    <row r="23" spans="1:8" s="11" customFormat="1" ht="22.5">
      <c r="A23" s="1626">
        <v>510110</v>
      </c>
      <c r="B23" s="1627" t="s">
        <v>298</v>
      </c>
      <c r="C23" s="1626" t="s">
        <v>54</v>
      </c>
      <c r="D23" s="1630" t="s">
        <v>299</v>
      </c>
      <c r="E23" s="1631"/>
      <c r="F23" s="1617"/>
      <c r="G23" s="1617"/>
      <c r="H23" s="1631"/>
    </row>
    <row r="24" spans="1:8" s="11" customFormat="1" ht="22.5">
      <c r="A24" s="1626">
        <v>510200</v>
      </c>
      <c r="B24" s="1627" t="s">
        <v>300</v>
      </c>
      <c r="C24" s="1626" t="s">
        <v>284</v>
      </c>
      <c r="D24" s="1630" t="s">
        <v>301</v>
      </c>
      <c r="E24" s="1631"/>
      <c r="F24" s="1617"/>
      <c r="G24" s="1617">
        <v>1220</v>
      </c>
      <c r="H24" s="1631">
        <f>1220*27.55</f>
        <v>33611</v>
      </c>
    </row>
    <row r="25" spans="1:8" s="11" customFormat="1" ht="22.5">
      <c r="A25" s="1626">
        <v>510299</v>
      </c>
      <c r="B25" s="1627" t="s">
        <v>302</v>
      </c>
      <c r="C25" s="1626" t="s">
        <v>284</v>
      </c>
      <c r="D25" s="1630" t="s">
        <v>303</v>
      </c>
      <c r="E25" s="1631"/>
      <c r="F25" s="1617"/>
      <c r="G25" s="1617">
        <v>1865</v>
      </c>
      <c r="H25" s="1631">
        <f>1865*23.61</f>
        <v>44032.65</v>
      </c>
    </row>
    <row r="26" spans="1:8" s="11" customFormat="1" ht="22.5">
      <c r="A26" s="1626">
        <v>510500</v>
      </c>
      <c r="B26" s="1627" t="s">
        <v>304</v>
      </c>
      <c r="C26" s="1626" t="s">
        <v>54</v>
      </c>
      <c r="D26" s="1630" t="s">
        <v>305</v>
      </c>
      <c r="E26" s="1631"/>
      <c r="F26" s="1617"/>
      <c r="G26" s="1617"/>
      <c r="H26" s="1631"/>
    </row>
    <row r="27" spans="1:8" s="11" customFormat="1">
      <c r="A27" s="1626">
        <v>520100</v>
      </c>
      <c r="B27" s="1627" t="s">
        <v>306</v>
      </c>
      <c r="C27" s="1626" t="s">
        <v>284</v>
      </c>
      <c r="D27" s="1630">
        <v>10.66</v>
      </c>
      <c r="E27" s="1631"/>
      <c r="F27" s="1617"/>
      <c r="G27" s="1617"/>
      <c r="H27" s="1631">
        <f t="shared" si="1"/>
        <v>0</v>
      </c>
    </row>
    <row r="28" spans="1:8" s="11" customFormat="1">
      <c r="A28" s="1626">
        <v>520101</v>
      </c>
      <c r="B28" s="1627" t="s">
        <v>307</v>
      </c>
      <c r="C28" s="1626" t="s">
        <v>284</v>
      </c>
      <c r="D28" s="1630">
        <v>20.02</v>
      </c>
      <c r="E28" s="1631"/>
      <c r="F28" s="1617"/>
      <c r="G28" s="1617"/>
      <c r="H28" s="1631">
        <f t="shared" si="1"/>
        <v>0</v>
      </c>
    </row>
    <row r="29" spans="1:8" s="11" customFormat="1">
      <c r="A29" s="1626">
        <v>520102</v>
      </c>
      <c r="B29" s="1627" t="s">
        <v>308</v>
      </c>
      <c r="C29" s="1626" t="s">
        <v>284</v>
      </c>
      <c r="D29" s="1630">
        <v>17.690000000000001</v>
      </c>
      <c r="E29" s="1631"/>
      <c r="F29" s="1617"/>
      <c r="G29" s="1617"/>
      <c r="H29" s="1631">
        <f t="shared" si="1"/>
        <v>0</v>
      </c>
    </row>
    <row r="30" spans="1:8" s="11" customFormat="1">
      <c r="A30" s="1626">
        <v>521000</v>
      </c>
      <c r="B30" s="1627" t="s">
        <v>309</v>
      </c>
      <c r="C30" s="1626" t="s">
        <v>54</v>
      </c>
      <c r="D30" s="1632">
        <v>2950.57</v>
      </c>
      <c r="E30" s="1631"/>
      <c r="F30" s="1617"/>
      <c r="G30" s="1617"/>
      <c r="H30" s="1631">
        <f t="shared" si="1"/>
        <v>0</v>
      </c>
    </row>
    <row r="31" spans="1:8" s="11" customFormat="1">
      <c r="A31" s="1626">
        <v>510000</v>
      </c>
      <c r="B31" s="1627" t="s">
        <v>310</v>
      </c>
      <c r="C31" s="1626" t="s">
        <v>54</v>
      </c>
      <c r="D31" s="1632">
        <v>7928.48</v>
      </c>
      <c r="E31" s="1617"/>
      <c r="F31" s="1617">
        <f t="shared" si="0"/>
        <v>0</v>
      </c>
      <c r="G31" s="1617"/>
      <c r="H31" s="1631">
        <f t="shared" si="1"/>
        <v>0</v>
      </c>
    </row>
    <row r="32" spans="1:8" s="11" customFormat="1" ht="22.5">
      <c r="A32" s="1626">
        <v>570100</v>
      </c>
      <c r="B32" s="1627" t="s">
        <v>311</v>
      </c>
      <c r="C32" s="1626" t="s">
        <v>54</v>
      </c>
      <c r="D32" s="1630" t="s">
        <v>312</v>
      </c>
      <c r="E32" s="1617"/>
      <c r="F32" s="1617"/>
      <c r="G32" s="1617"/>
      <c r="H32" s="1631"/>
    </row>
    <row r="33" spans="1:8" s="11" customFormat="1">
      <c r="A33" s="1626">
        <v>580100</v>
      </c>
      <c r="B33" s="1627" t="s">
        <v>313</v>
      </c>
      <c r="C33" s="1626" t="s">
        <v>284</v>
      </c>
      <c r="D33" s="1630">
        <v>13.31</v>
      </c>
      <c r="E33" s="1617"/>
      <c r="F33" s="1617">
        <f t="shared" si="0"/>
        <v>0</v>
      </c>
      <c r="G33" s="1617"/>
      <c r="H33" s="1631">
        <f t="shared" si="1"/>
        <v>0</v>
      </c>
    </row>
    <row r="34" spans="1:8" s="11" customFormat="1">
      <c r="A34" s="1626">
        <v>580101</v>
      </c>
      <c r="B34" s="1627" t="s">
        <v>314</v>
      </c>
      <c r="C34" s="1626" t="s">
        <v>284</v>
      </c>
      <c r="D34" s="1630">
        <v>10.23</v>
      </c>
      <c r="E34" s="1617"/>
      <c r="F34" s="1617">
        <f t="shared" si="0"/>
        <v>0</v>
      </c>
      <c r="G34" s="1617"/>
      <c r="H34" s="1631">
        <f t="shared" si="1"/>
        <v>0</v>
      </c>
    </row>
    <row r="35" spans="1:8" s="11" customFormat="1">
      <c r="A35" s="1626">
        <v>580102</v>
      </c>
      <c r="B35" s="1627" t="s">
        <v>315</v>
      </c>
      <c r="C35" s="1626" t="s">
        <v>284</v>
      </c>
      <c r="D35" s="1630">
        <v>12.99</v>
      </c>
      <c r="E35" s="1617"/>
      <c r="F35" s="1617">
        <f t="shared" si="0"/>
        <v>0</v>
      </c>
      <c r="G35" s="1617"/>
      <c r="H35" s="1631">
        <f t="shared" si="1"/>
        <v>0</v>
      </c>
    </row>
    <row r="36" spans="1:8" s="11" customFormat="1" ht="22.5">
      <c r="A36" s="1626">
        <v>590100</v>
      </c>
      <c r="B36" s="1627" t="s">
        <v>316</v>
      </c>
      <c r="C36" s="1626" t="s">
        <v>284</v>
      </c>
      <c r="D36" s="1630">
        <v>26.6</v>
      </c>
      <c r="E36" s="1617"/>
      <c r="F36" s="1617">
        <f t="shared" si="0"/>
        <v>0</v>
      </c>
      <c r="G36" s="1617"/>
      <c r="H36" s="1631">
        <f t="shared" si="1"/>
        <v>0</v>
      </c>
    </row>
    <row r="37" spans="1:8" s="11" customFormat="1" ht="32.25" customHeight="1">
      <c r="A37" s="152"/>
      <c r="B37" s="2316" t="s">
        <v>358</v>
      </c>
      <c r="C37" s="2317"/>
      <c r="D37" s="2317"/>
      <c r="E37" s="2317"/>
      <c r="F37" s="2317"/>
      <c r="G37" s="2317"/>
      <c r="H37" s="2318"/>
    </row>
    <row r="38" spans="1:8">
      <c r="A38" s="1626">
        <v>590101</v>
      </c>
      <c r="B38" s="1627" t="s">
        <v>283</v>
      </c>
      <c r="C38" s="1626" t="s">
        <v>284</v>
      </c>
      <c r="D38" s="1628">
        <v>6.38</v>
      </c>
      <c r="E38" s="1633">
        <v>54000</v>
      </c>
      <c r="F38" s="1631">
        <v>344520</v>
      </c>
      <c r="G38" s="1634">
        <v>28030</v>
      </c>
      <c r="H38" s="1631">
        <f t="shared" ref="H38:H64" si="2">D38*G38</f>
        <v>178831.4</v>
      </c>
    </row>
    <row r="39" spans="1:8">
      <c r="A39" s="1626">
        <v>590102</v>
      </c>
      <c r="B39" s="1627" t="s">
        <v>285</v>
      </c>
      <c r="C39" s="1626" t="s">
        <v>284</v>
      </c>
      <c r="D39" s="1628">
        <v>7.82</v>
      </c>
      <c r="E39" s="1633"/>
      <c r="F39" s="1631">
        <v>0</v>
      </c>
      <c r="G39" s="1634"/>
      <c r="H39" s="1631">
        <f t="shared" si="2"/>
        <v>0</v>
      </c>
    </row>
    <row r="40" spans="1:8">
      <c r="A40" s="1626">
        <v>590103</v>
      </c>
      <c r="B40" s="1627" t="s">
        <v>286</v>
      </c>
      <c r="C40" s="1626" t="s">
        <v>284</v>
      </c>
      <c r="D40" s="1628">
        <v>9.8000000000000007</v>
      </c>
      <c r="E40" s="1633"/>
      <c r="F40" s="1631">
        <v>0</v>
      </c>
      <c r="G40" s="1634"/>
      <c r="H40" s="1631">
        <f t="shared" si="2"/>
        <v>0</v>
      </c>
    </row>
    <row r="41" spans="1:8">
      <c r="A41" s="1626">
        <v>590104</v>
      </c>
      <c r="B41" s="1627" t="s">
        <v>287</v>
      </c>
      <c r="C41" s="1626" t="s">
        <v>284</v>
      </c>
      <c r="D41" s="1628">
        <v>8.08</v>
      </c>
      <c r="E41" s="1635"/>
      <c r="F41" s="1631">
        <v>0</v>
      </c>
      <c r="G41" s="1636"/>
      <c r="H41" s="1631">
        <f t="shared" si="2"/>
        <v>0</v>
      </c>
    </row>
    <row r="42" spans="1:8">
      <c r="A42" s="1626">
        <v>590105</v>
      </c>
      <c r="B42" s="1627" t="s">
        <v>288</v>
      </c>
      <c r="C42" s="1626" t="s">
        <v>284</v>
      </c>
      <c r="D42" s="1628">
        <v>6.53</v>
      </c>
      <c r="E42" s="1635"/>
      <c r="F42" s="1631">
        <v>0</v>
      </c>
      <c r="G42" s="1636"/>
      <c r="H42" s="1631">
        <f t="shared" si="2"/>
        <v>0</v>
      </c>
    </row>
    <row r="43" spans="1:8" ht="22.5">
      <c r="A43" s="1626">
        <v>590106</v>
      </c>
      <c r="B43" s="1627" t="s">
        <v>289</v>
      </c>
      <c r="C43" s="1626" t="s">
        <v>284</v>
      </c>
      <c r="D43" s="1628">
        <v>6.88</v>
      </c>
      <c r="E43" s="1635"/>
      <c r="F43" s="1631">
        <v>0</v>
      </c>
      <c r="G43" s="1636"/>
      <c r="H43" s="1631">
        <f t="shared" si="2"/>
        <v>0</v>
      </c>
    </row>
    <row r="44" spans="1:8">
      <c r="A44" s="1626">
        <v>590107</v>
      </c>
      <c r="B44" s="1627" t="s">
        <v>290</v>
      </c>
      <c r="C44" s="1626" t="s">
        <v>284</v>
      </c>
      <c r="D44" s="1628">
        <v>6.38</v>
      </c>
      <c r="E44" s="1635">
        <v>489979</v>
      </c>
      <c r="F44" s="1631">
        <v>3126064.95</v>
      </c>
      <c r="G44" s="1636">
        <v>230810</v>
      </c>
      <c r="H44" s="1631">
        <f t="shared" si="2"/>
        <v>1472567.8</v>
      </c>
    </row>
    <row r="45" spans="1:8" ht="22.5">
      <c r="A45" s="1626">
        <v>590108</v>
      </c>
      <c r="B45" s="1627" t="s">
        <v>291</v>
      </c>
      <c r="C45" s="1626" t="s">
        <v>284</v>
      </c>
      <c r="D45" s="1628" t="s">
        <v>351</v>
      </c>
      <c r="E45" s="1635">
        <v>4000</v>
      </c>
      <c r="F45" s="1631">
        <v>45980</v>
      </c>
      <c r="G45" s="1636">
        <v>4080</v>
      </c>
      <c r="H45" s="1631">
        <f>4080*6.38+16368</f>
        <v>42398.399999999994</v>
      </c>
    </row>
    <row r="46" spans="1:8">
      <c r="A46" s="1626">
        <v>590109</v>
      </c>
      <c r="B46" s="1627" t="s">
        <v>293</v>
      </c>
      <c r="C46" s="1626" t="s">
        <v>284</v>
      </c>
      <c r="D46" s="1628">
        <v>9.84</v>
      </c>
      <c r="E46" s="1635"/>
      <c r="F46" s="1631">
        <v>0</v>
      </c>
      <c r="G46" s="1636"/>
      <c r="H46" s="1631">
        <f t="shared" si="2"/>
        <v>0</v>
      </c>
    </row>
    <row r="47" spans="1:8">
      <c r="A47" s="1626">
        <v>590110</v>
      </c>
      <c r="B47" s="1627" t="s">
        <v>294</v>
      </c>
      <c r="C47" s="1626" t="s">
        <v>284</v>
      </c>
      <c r="D47" s="1628">
        <v>10.7</v>
      </c>
      <c r="E47" s="1635"/>
      <c r="F47" s="1631">
        <v>0</v>
      </c>
      <c r="G47" s="1636"/>
      <c r="H47" s="1631">
        <f t="shared" si="2"/>
        <v>0</v>
      </c>
    </row>
    <row r="48" spans="1:8">
      <c r="A48" s="1626">
        <v>590111</v>
      </c>
      <c r="B48" s="1627" t="s">
        <v>295</v>
      </c>
      <c r="C48" s="1626" t="s">
        <v>284</v>
      </c>
      <c r="D48" s="1628">
        <v>6.88</v>
      </c>
      <c r="E48" s="1635">
        <v>370000</v>
      </c>
      <c r="F48" s="1631">
        <v>2545600</v>
      </c>
      <c r="G48" s="1636">
        <v>150262</v>
      </c>
      <c r="H48" s="1631">
        <f t="shared" si="2"/>
        <v>1033802.5599999999</v>
      </c>
    </row>
    <row r="49" spans="1:8">
      <c r="A49" s="1626">
        <v>590112</v>
      </c>
      <c r="B49" s="1627" t="s">
        <v>296</v>
      </c>
      <c r="C49" s="1626" t="s">
        <v>284</v>
      </c>
      <c r="D49" s="1628">
        <v>11.34</v>
      </c>
      <c r="E49" s="1635"/>
      <c r="F49" s="1631">
        <v>0</v>
      </c>
      <c r="G49" s="1636"/>
      <c r="H49" s="1631">
        <f t="shared" si="2"/>
        <v>0</v>
      </c>
    </row>
    <row r="50" spans="1:8" ht="22.5">
      <c r="A50" s="1626">
        <v>590113</v>
      </c>
      <c r="B50" s="1627" t="s">
        <v>297</v>
      </c>
      <c r="C50" s="1626" t="s">
        <v>284</v>
      </c>
      <c r="D50" s="1628">
        <v>7.59</v>
      </c>
      <c r="E50" s="1635"/>
      <c r="F50" s="1631">
        <v>0</v>
      </c>
      <c r="G50" s="1636"/>
      <c r="H50" s="1631">
        <f t="shared" si="2"/>
        <v>0</v>
      </c>
    </row>
    <row r="51" spans="1:8" ht="22.5">
      <c r="A51" s="1626">
        <v>590114</v>
      </c>
      <c r="B51" s="1627" t="s">
        <v>298</v>
      </c>
      <c r="C51" s="1626" t="s">
        <v>54</v>
      </c>
      <c r="D51" s="1628" t="s">
        <v>352</v>
      </c>
      <c r="E51" s="1635">
        <v>680</v>
      </c>
      <c r="F51" s="1631">
        <v>294943.2</v>
      </c>
      <c r="G51" s="1636">
        <v>218</v>
      </c>
      <c r="H51" s="1631">
        <f>218*433.74</f>
        <v>94555.32</v>
      </c>
    </row>
    <row r="52" spans="1:8" ht="22.5">
      <c r="A52" s="1626">
        <v>590115</v>
      </c>
      <c r="B52" s="1627" t="s">
        <v>300</v>
      </c>
      <c r="C52" s="1626" t="s">
        <v>284</v>
      </c>
      <c r="D52" s="1628" t="s">
        <v>353</v>
      </c>
      <c r="E52" s="1635"/>
      <c r="F52" s="1631"/>
      <c r="G52" s="1636"/>
      <c r="H52" s="1631"/>
    </row>
    <row r="53" spans="1:8" ht="22.5">
      <c r="A53" s="1626">
        <v>590116</v>
      </c>
      <c r="B53" s="1627" t="s">
        <v>302</v>
      </c>
      <c r="C53" s="1626" t="s">
        <v>284</v>
      </c>
      <c r="D53" s="1628" t="s">
        <v>354</v>
      </c>
      <c r="E53" s="1635"/>
      <c r="F53" s="1631"/>
      <c r="G53" s="1636"/>
      <c r="H53" s="1631"/>
    </row>
    <row r="54" spans="1:8" ht="22.5">
      <c r="A54" s="1626">
        <v>590117</v>
      </c>
      <c r="B54" s="1627" t="s">
        <v>304</v>
      </c>
      <c r="C54" s="1626" t="s">
        <v>54</v>
      </c>
      <c r="D54" s="1628" t="s">
        <v>355</v>
      </c>
      <c r="E54" s="1635">
        <v>1</v>
      </c>
      <c r="F54" s="1631">
        <v>1181</v>
      </c>
      <c r="G54" s="1636"/>
      <c r="H54" s="1631"/>
    </row>
    <row r="55" spans="1:8">
      <c r="A55" s="1626">
        <v>590118</v>
      </c>
      <c r="B55" s="1627" t="s">
        <v>306</v>
      </c>
      <c r="C55" s="1626" t="s">
        <v>284</v>
      </c>
      <c r="D55" s="1628">
        <v>6.07</v>
      </c>
      <c r="E55" s="1635">
        <v>400000</v>
      </c>
      <c r="F55" s="1631">
        <v>2428000</v>
      </c>
      <c r="G55" s="1636">
        <v>205973</v>
      </c>
      <c r="H55" s="1631">
        <f t="shared" si="2"/>
        <v>1250256.1100000001</v>
      </c>
    </row>
    <row r="56" spans="1:8">
      <c r="A56" s="1626">
        <v>590119</v>
      </c>
      <c r="B56" s="1627" t="s">
        <v>307</v>
      </c>
      <c r="C56" s="1626" t="s">
        <v>284</v>
      </c>
      <c r="D56" s="1628">
        <v>11.41</v>
      </c>
      <c r="E56" s="1635"/>
      <c r="F56" s="1631">
        <v>0</v>
      </c>
      <c r="G56" s="1636"/>
      <c r="H56" s="1631">
        <f t="shared" si="2"/>
        <v>0</v>
      </c>
    </row>
    <row r="57" spans="1:8">
      <c r="A57" s="1626">
        <v>590120</v>
      </c>
      <c r="B57" s="1627" t="s">
        <v>308</v>
      </c>
      <c r="C57" s="1626" t="s">
        <v>284</v>
      </c>
      <c r="D57" s="1628">
        <v>10.08</v>
      </c>
      <c r="E57" s="1635"/>
      <c r="F57" s="1631">
        <v>0</v>
      </c>
      <c r="G57" s="1636"/>
      <c r="H57" s="1631">
        <f t="shared" si="2"/>
        <v>0</v>
      </c>
    </row>
    <row r="58" spans="1:8">
      <c r="A58" s="1626">
        <v>590121</v>
      </c>
      <c r="B58" s="1627" t="s">
        <v>309</v>
      </c>
      <c r="C58" s="1626" t="s">
        <v>54</v>
      </c>
      <c r="D58" s="1628">
        <v>1681.83</v>
      </c>
      <c r="E58" s="1635">
        <v>35</v>
      </c>
      <c r="F58" s="1631">
        <v>58864.049999999996</v>
      </c>
      <c r="G58" s="1636">
        <v>10</v>
      </c>
      <c r="H58" s="1631">
        <f t="shared" si="2"/>
        <v>16818.3</v>
      </c>
    </row>
    <row r="59" spans="1:8">
      <c r="A59" s="1626">
        <v>590122</v>
      </c>
      <c r="B59" s="1627" t="s">
        <v>310</v>
      </c>
      <c r="C59" s="1626" t="s">
        <v>54</v>
      </c>
      <c r="D59" s="1628">
        <v>4519.2299999999996</v>
      </c>
      <c r="E59" s="1635"/>
      <c r="F59" s="1631">
        <v>0</v>
      </c>
      <c r="G59" s="1636"/>
      <c r="H59" s="1631">
        <f t="shared" si="2"/>
        <v>0</v>
      </c>
    </row>
    <row r="60" spans="1:8" ht="22.5">
      <c r="A60" s="1626">
        <v>590123</v>
      </c>
      <c r="B60" s="1627" t="s">
        <v>311</v>
      </c>
      <c r="C60" s="1626" t="s">
        <v>54</v>
      </c>
      <c r="D60" s="1628" t="s">
        <v>356</v>
      </c>
      <c r="E60" s="1635"/>
      <c r="F60" s="1631"/>
      <c r="G60" s="1636"/>
      <c r="H60" s="1631"/>
    </row>
    <row r="61" spans="1:8">
      <c r="A61" s="1626">
        <v>590124</v>
      </c>
      <c r="B61" s="1627" t="s">
        <v>313</v>
      </c>
      <c r="C61" s="1626" t="s">
        <v>284</v>
      </c>
      <c r="D61" s="1628">
        <v>7.59</v>
      </c>
      <c r="E61" s="1635"/>
      <c r="F61" s="1631">
        <v>0</v>
      </c>
      <c r="G61" s="1636"/>
      <c r="H61" s="1631">
        <f t="shared" si="2"/>
        <v>0</v>
      </c>
    </row>
    <row r="62" spans="1:8">
      <c r="A62" s="1626">
        <v>590125</v>
      </c>
      <c r="B62" s="1627" t="s">
        <v>314</v>
      </c>
      <c r="C62" s="1626" t="s">
        <v>284</v>
      </c>
      <c r="D62" s="1628">
        <v>5.83</v>
      </c>
      <c r="E62" s="1635"/>
      <c r="F62" s="1631">
        <v>0</v>
      </c>
      <c r="G62" s="1636"/>
      <c r="H62" s="1631">
        <f t="shared" si="2"/>
        <v>0</v>
      </c>
    </row>
    <row r="63" spans="1:8">
      <c r="A63" s="1626">
        <v>590126</v>
      </c>
      <c r="B63" s="1627" t="s">
        <v>315</v>
      </c>
      <c r="C63" s="1626" t="s">
        <v>284</v>
      </c>
      <c r="D63" s="1628">
        <v>7.4</v>
      </c>
      <c r="E63" s="1635"/>
      <c r="F63" s="1631">
        <v>0</v>
      </c>
      <c r="G63" s="1636"/>
      <c r="H63" s="1631">
        <f t="shared" si="2"/>
        <v>0</v>
      </c>
    </row>
    <row r="64" spans="1:8" ht="23.25" thickBot="1">
      <c r="A64" s="1810">
        <v>590127</v>
      </c>
      <c r="B64" s="1811" t="s">
        <v>316</v>
      </c>
      <c r="C64" s="1810" t="s">
        <v>284</v>
      </c>
      <c r="D64" s="1812">
        <v>15.16</v>
      </c>
      <c r="E64" s="1813"/>
      <c r="F64" s="1814">
        <v>0</v>
      </c>
      <c r="G64" s="1815"/>
      <c r="H64" s="1814">
        <f t="shared" si="2"/>
        <v>0</v>
      </c>
    </row>
    <row r="65" spans="1:8" ht="13.5" thickBot="1">
      <c r="A65" s="1816"/>
      <c r="B65" s="1817" t="s">
        <v>7084</v>
      </c>
      <c r="C65" s="1817"/>
      <c r="D65" s="1817"/>
      <c r="E65" s="1818"/>
      <c r="F65" s="1819">
        <f>+F16+F18+F19+F20+F24+F25+F38+F44+F45+F48+F51+F54+F55+F58</f>
        <v>8897000</v>
      </c>
      <c r="G65" s="1819"/>
      <c r="H65" s="1820">
        <f t="shared" ref="H65" si="3">+H16+H18+H19+H20+H24+H25+H38+H44+H45+H48+H51+H54+H55+H58</f>
        <v>4475124.54</v>
      </c>
    </row>
    <row r="66" spans="1:8">
      <c r="E66" s="1637"/>
      <c r="F66" s="1637"/>
      <c r="G66" s="1637"/>
      <c r="H66" s="1637"/>
    </row>
    <row r="67" spans="1:8">
      <c r="E67" s="1637"/>
      <c r="F67" s="1637"/>
      <c r="G67" s="1637"/>
      <c r="H67" s="1638"/>
    </row>
  </sheetData>
  <mergeCells count="12">
    <mergeCell ref="A6:A8"/>
    <mergeCell ref="B6:B8"/>
    <mergeCell ref="C6:C8"/>
    <mergeCell ref="E6:H6"/>
    <mergeCell ref="E7:F7"/>
    <mergeCell ref="G7:H7"/>
    <mergeCell ref="C1:G1"/>
    <mergeCell ref="C2:G2"/>
    <mergeCell ref="C3:G3"/>
    <mergeCell ref="B9:H9"/>
    <mergeCell ref="B37:H37"/>
    <mergeCell ref="D6:D8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6"/>
  <sheetViews>
    <sheetView view="pageBreakPreview" zoomScaleSheetLayoutView="100" workbookViewId="0">
      <selection activeCell="C4" sqref="C4:K4"/>
    </sheetView>
  </sheetViews>
  <sheetFormatPr defaultRowHeight="12.75"/>
  <cols>
    <col min="1" max="1" width="19" style="9" customWidth="1"/>
    <col min="2" max="2" width="9.85546875" style="9" customWidth="1"/>
    <col min="3" max="3" width="22.7109375" style="9" customWidth="1"/>
    <col min="4" max="4" width="12.5703125" style="9" customWidth="1"/>
    <col min="5" max="5" width="38" style="9" customWidth="1"/>
    <col min="6" max="6" width="8" style="1637" customWidth="1"/>
    <col min="7" max="7" width="10.7109375" style="1637" customWidth="1"/>
    <col min="8" max="8" width="13.7109375" style="1637" customWidth="1"/>
    <col min="9" max="9" width="7.5703125" style="1637" customWidth="1"/>
    <col min="10" max="10" width="9.85546875" style="1637" customWidth="1"/>
    <col min="11" max="11" width="14.28515625" style="1637" customWidth="1"/>
    <col min="12" max="16384" width="9.140625" style="9"/>
  </cols>
  <sheetData>
    <row r="1" spans="1:11">
      <c r="A1" s="110"/>
      <c r="B1" s="1744" t="s">
        <v>208</v>
      </c>
      <c r="C1" s="1839" t="s">
        <v>1852</v>
      </c>
      <c r="D1" s="1840"/>
      <c r="E1" s="1840"/>
      <c r="F1" s="1840"/>
      <c r="G1" s="1840"/>
      <c r="H1" s="1840"/>
      <c r="I1" s="1840"/>
      <c r="J1" s="1840"/>
      <c r="K1" s="1840"/>
    </row>
    <row r="2" spans="1:11">
      <c r="A2" s="110"/>
      <c r="B2" s="1744" t="s">
        <v>209</v>
      </c>
      <c r="C2" s="1839">
        <v>17878735</v>
      </c>
      <c r="D2" s="1840"/>
      <c r="E2" s="1840"/>
      <c r="F2" s="1840"/>
      <c r="G2" s="1840"/>
      <c r="H2" s="1840"/>
      <c r="I2" s="1840"/>
      <c r="J2" s="1840"/>
      <c r="K2" s="1840"/>
    </row>
    <row r="3" spans="1:11">
      <c r="A3" s="110"/>
      <c r="B3" s="1744"/>
      <c r="C3" s="2328" t="s">
        <v>2037</v>
      </c>
      <c r="D3" s="2329"/>
      <c r="E3" s="2329"/>
      <c r="F3" s="2329"/>
      <c r="G3" s="2329"/>
      <c r="H3" s="2329"/>
      <c r="I3" s="2329"/>
      <c r="J3" s="2329"/>
      <c r="K3" s="2329"/>
    </row>
    <row r="4" spans="1:11" ht="14.25">
      <c r="A4" s="110"/>
      <c r="B4" s="1744" t="s">
        <v>210</v>
      </c>
      <c r="C4" s="1830" t="s">
        <v>325</v>
      </c>
      <c r="D4" s="1831"/>
      <c r="E4" s="1831"/>
      <c r="F4" s="1831"/>
      <c r="G4" s="1831"/>
      <c r="H4" s="1831"/>
      <c r="I4" s="1831"/>
      <c r="J4" s="1831"/>
      <c r="K4" s="1831"/>
    </row>
    <row r="5" spans="1:11" ht="15.75">
      <c r="J5" s="1699"/>
      <c r="K5" s="1699"/>
    </row>
    <row r="6" spans="1:11" ht="12.75" customHeight="1">
      <c r="A6" s="2330" t="s">
        <v>10</v>
      </c>
      <c r="B6" s="2330" t="s">
        <v>11</v>
      </c>
      <c r="C6" s="2330" t="s">
        <v>12</v>
      </c>
      <c r="D6" s="2330" t="s">
        <v>13</v>
      </c>
      <c r="E6" s="2330" t="s">
        <v>14</v>
      </c>
      <c r="F6" s="2322" t="s">
        <v>368</v>
      </c>
      <c r="G6" s="2322"/>
      <c r="H6" s="2322"/>
      <c r="I6" s="2322" t="s">
        <v>1813</v>
      </c>
      <c r="J6" s="2322"/>
      <c r="K6" s="2322"/>
    </row>
    <row r="7" spans="1:11" ht="36.75" customHeight="1" thickBot="1">
      <c r="A7" s="2330"/>
      <c r="B7" s="2330"/>
      <c r="C7" s="2330"/>
      <c r="D7" s="2330"/>
      <c r="E7" s="2330"/>
      <c r="F7" s="1617" t="s">
        <v>15</v>
      </c>
      <c r="G7" s="197" t="s">
        <v>16</v>
      </c>
      <c r="H7" s="912" t="s">
        <v>17</v>
      </c>
      <c r="I7" s="1617" t="s">
        <v>15</v>
      </c>
      <c r="J7" s="197" t="s">
        <v>16</v>
      </c>
      <c r="K7" s="912" t="s">
        <v>17</v>
      </c>
    </row>
    <row r="8" spans="1:11" ht="15">
      <c r="A8" s="1641" t="s">
        <v>82</v>
      </c>
      <c r="B8" s="90"/>
      <c r="C8" s="90"/>
      <c r="D8" s="90"/>
      <c r="E8" s="90"/>
      <c r="F8" s="1700"/>
      <c r="G8" s="1701"/>
      <c r="H8" s="1702">
        <v>15997000.000000002</v>
      </c>
      <c r="I8" s="1703"/>
      <c r="J8" s="1704"/>
      <c r="K8" s="1705">
        <f>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+K82+K83+K84</f>
        <v>11546667.350000001</v>
      </c>
    </row>
    <row r="9" spans="1:11" ht="11.1" customHeight="1">
      <c r="A9" s="90"/>
      <c r="B9" s="90"/>
      <c r="C9" s="90"/>
      <c r="D9" s="90"/>
      <c r="E9" s="90"/>
      <c r="F9" s="1700"/>
      <c r="G9" s="1700"/>
      <c r="H9" s="1700"/>
      <c r="I9" s="1703"/>
      <c r="J9" s="1704"/>
      <c r="K9" s="1706"/>
    </row>
    <row r="10" spans="1:11" ht="11.1" customHeight="1">
      <c r="A10" s="1642" t="s">
        <v>7085</v>
      </c>
      <c r="B10" s="534" t="s">
        <v>7086</v>
      </c>
      <c r="C10" s="658" t="s">
        <v>7087</v>
      </c>
      <c r="D10" s="1745" t="s">
        <v>7088</v>
      </c>
      <c r="E10" s="1643" t="s">
        <v>7089</v>
      </c>
      <c r="F10" s="1700">
        <v>68</v>
      </c>
      <c r="G10" s="1706">
        <v>720</v>
      </c>
      <c r="H10" s="1706">
        <v>48960</v>
      </c>
      <c r="I10" s="1703"/>
      <c r="J10" s="1704"/>
      <c r="K10" s="1706">
        <v>25638</v>
      </c>
    </row>
    <row r="11" spans="1:11" ht="11.1" customHeight="1">
      <c r="A11" s="1644" t="s">
        <v>7090</v>
      </c>
      <c r="B11" s="1746" t="s">
        <v>7086</v>
      </c>
      <c r="C11" s="1747" t="s">
        <v>7091</v>
      </c>
      <c r="D11" s="1748" t="s">
        <v>7092</v>
      </c>
      <c r="E11" s="1646" t="s">
        <v>7093</v>
      </c>
      <c r="F11" s="1700"/>
      <c r="G11" s="1706"/>
      <c r="H11" s="1706"/>
      <c r="I11" s="1703"/>
      <c r="J11" s="1704"/>
      <c r="K11" s="1706"/>
    </row>
    <row r="12" spans="1:11">
      <c r="A12" s="1644" t="s">
        <v>7094</v>
      </c>
      <c r="B12" s="1746" t="s">
        <v>7095</v>
      </c>
      <c r="C12" s="1747" t="s">
        <v>7096</v>
      </c>
      <c r="D12" s="1748" t="s">
        <v>7092</v>
      </c>
      <c r="E12" s="1646" t="s">
        <v>7097</v>
      </c>
      <c r="F12" s="1700"/>
      <c r="G12" s="1706"/>
      <c r="H12" s="1706"/>
      <c r="I12" s="1703"/>
      <c r="J12" s="1704"/>
      <c r="K12" s="1706"/>
    </row>
    <row r="13" spans="1:11" ht="11.1" customHeight="1">
      <c r="A13" s="1644" t="s">
        <v>7098</v>
      </c>
      <c r="B13" s="1749" t="s">
        <v>7099</v>
      </c>
      <c r="C13" s="1591" t="s">
        <v>7100</v>
      </c>
      <c r="D13" s="1750" t="s">
        <v>7101</v>
      </c>
      <c r="E13" s="1648" t="s">
        <v>7102</v>
      </c>
      <c r="F13" s="1700"/>
      <c r="G13" s="1706"/>
      <c r="H13" s="1706"/>
      <c r="I13" s="1703"/>
      <c r="J13" s="1704"/>
      <c r="K13" s="1706">
        <v>48432.3</v>
      </c>
    </row>
    <row r="14" spans="1:11" ht="11.1" customHeight="1">
      <c r="A14" s="1644" t="s">
        <v>7103</v>
      </c>
      <c r="B14" s="1746" t="s">
        <v>7104</v>
      </c>
      <c r="C14" s="1747" t="s">
        <v>7105</v>
      </c>
      <c r="D14" s="1750" t="s">
        <v>7101</v>
      </c>
      <c r="E14" s="1648" t="s">
        <v>7102</v>
      </c>
      <c r="F14" s="1700">
        <v>120</v>
      </c>
      <c r="G14" s="1706">
        <v>366</v>
      </c>
      <c r="H14" s="1706">
        <v>43920</v>
      </c>
      <c r="I14" s="1703"/>
      <c r="J14" s="1704"/>
      <c r="K14" s="1706">
        <v>220712.91</v>
      </c>
    </row>
    <row r="15" spans="1:11" ht="11.1" customHeight="1">
      <c r="A15" s="1644" t="s">
        <v>7106</v>
      </c>
      <c r="B15" s="1746" t="s">
        <v>7099</v>
      </c>
      <c r="C15" s="1751" t="s">
        <v>7107</v>
      </c>
      <c r="D15" s="1750" t="s">
        <v>7101</v>
      </c>
      <c r="E15" s="1649" t="s">
        <v>7102</v>
      </c>
      <c r="F15" s="1700">
        <v>549</v>
      </c>
      <c r="G15" s="1706">
        <v>714.76475409836064</v>
      </c>
      <c r="H15" s="1706">
        <v>392405.85</v>
      </c>
      <c r="I15" s="1703"/>
      <c r="J15" s="1704"/>
      <c r="K15" s="1706">
        <v>172972.5</v>
      </c>
    </row>
    <row r="16" spans="1:11" ht="51">
      <c r="A16" s="1644" t="s">
        <v>7108</v>
      </c>
      <c r="B16" s="1752" t="s">
        <v>7086</v>
      </c>
      <c r="C16" s="1753" t="s">
        <v>7109</v>
      </c>
      <c r="D16" s="1754" t="s">
        <v>7110</v>
      </c>
      <c r="E16" s="1646" t="s">
        <v>7111</v>
      </c>
      <c r="F16" s="1700"/>
      <c r="G16" s="1706"/>
      <c r="H16" s="1706"/>
      <c r="I16" s="1703"/>
      <c r="J16" s="1704"/>
      <c r="K16" s="1706"/>
    </row>
    <row r="17" spans="1:11" ht="11.1" customHeight="1">
      <c r="A17" s="1644" t="s">
        <v>7112</v>
      </c>
      <c r="B17" s="1746" t="s">
        <v>7113</v>
      </c>
      <c r="C17" s="1747" t="s">
        <v>7114</v>
      </c>
      <c r="D17" s="1755" t="s">
        <v>7115</v>
      </c>
      <c r="E17" s="1646" t="s">
        <v>7116</v>
      </c>
      <c r="F17" s="1700"/>
      <c r="G17" s="1706"/>
      <c r="H17" s="1706"/>
      <c r="I17" s="1703"/>
      <c r="J17" s="1704"/>
      <c r="K17" s="1706">
        <v>146534.39999999999</v>
      </c>
    </row>
    <row r="18" spans="1:11" ht="11.1" customHeight="1">
      <c r="A18" s="1644" t="s">
        <v>7117</v>
      </c>
      <c r="B18" s="1752" t="s">
        <v>7113</v>
      </c>
      <c r="C18" s="1747" t="s">
        <v>7118</v>
      </c>
      <c r="D18" s="1755" t="s">
        <v>7115</v>
      </c>
      <c r="E18" s="1646" t="s">
        <v>7119</v>
      </c>
      <c r="F18" s="1700">
        <v>93</v>
      </c>
      <c r="G18" s="1706">
        <v>3842</v>
      </c>
      <c r="H18" s="1706">
        <v>357306</v>
      </c>
      <c r="I18" s="1703"/>
      <c r="J18" s="1704"/>
      <c r="K18" s="1706">
        <v>30528.05</v>
      </c>
    </row>
    <row r="19" spans="1:11" ht="25.5">
      <c r="A19" s="1644" t="s">
        <v>7120</v>
      </c>
      <c r="B19" s="1752" t="s">
        <v>7121</v>
      </c>
      <c r="C19" s="1747" t="s">
        <v>7118</v>
      </c>
      <c r="D19" s="1755" t="s">
        <v>7115</v>
      </c>
      <c r="E19" s="1646" t="s">
        <v>7122</v>
      </c>
      <c r="F19" s="1700">
        <v>15</v>
      </c>
      <c r="G19" s="1706">
        <v>1219</v>
      </c>
      <c r="H19" s="1706">
        <v>18285</v>
      </c>
      <c r="I19" s="1703"/>
      <c r="J19" s="1704"/>
      <c r="K19" s="1706"/>
    </row>
    <row r="20" spans="1:11" ht="13.5" customHeight="1">
      <c r="A20" s="1644" t="s">
        <v>7123</v>
      </c>
      <c r="B20" s="1756" t="s">
        <v>7124</v>
      </c>
      <c r="C20" s="1591" t="s">
        <v>7125</v>
      </c>
      <c r="D20" s="1750" t="s">
        <v>7126</v>
      </c>
      <c r="E20" s="1648" t="s">
        <v>7127</v>
      </c>
      <c r="F20" s="1700"/>
      <c r="G20" s="1706"/>
      <c r="H20" s="1706"/>
      <c r="I20" s="1703"/>
      <c r="J20" s="1704"/>
      <c r="K20" s="1706"/>
    </row>
    <row r="21" spans="1:11" ht="13.5" customHeight="1">
      <c r="A21" s="1650" t="s">
        <v>7128</v>
      </c>
      <c r="B21" s="1757" t="s">
        <v>7129</v>
      </c>
      <c r="C21" s="1758" t="s">
        <v>7130</v>
      </c>
      <c r="D21" s="1754" t="s">
        <v>7131</v>
      </c>
      <c r="E21" s="1648" t="s">
        <v>7132</v>
      </c>
      <c r="F21" s="1651"/>
      <c r="G21" s="1652"/>
      <c r="H21" s="1652"/>
      <c r="I21" s="1703"/>
      <c r="J21" s="1704"/>
      <c r="K21" s="1653">
        <v>155950.01999999999</v>
      </c>
    </row>
    <row r="22" spans="1:11" ht="13.5" customHeight="1">
      <c r="A22" s="1644" t="s">
        <v>7133</v>
      </c>
      <c r="B22" s="1752" t="s">
        <v>7129</v>
      </c>
      <c r="C22" s="1753" t="s">
        <v>7130</v>
      </c>
      <c r="D22" s="1754" t="s">
        <v>7131</v>
      </c>
      <c r="E22" s="1646" t="s">
        <v>7134</v>
      </c>
      <c r="F22" s="1700">
        <v>104</v>
      </c>
      <c r="G22" s="1706">
        <v>850.8</v>
      </c>
      <c r="H22" s="1706">
        <v>88483.199999999997</v>
      </c>
      <c r="I22" s="1703"/>
      <c r="J22" s="1704"/>
      <c r="K22" s="1706">
        <v>226624.86</v>
      </c>
    </row>
    <row r="23" spans="1:11" ht="13.5" customHeight="1">
      <c r="A23" s="1644" t="s">
        <v>7135</v>
      </c>
      <c r="B23" s="1759" t="s">
        <v>7129</v>
      </c>
      <c r="C23" s="1751" t="s">
        <v>7136</v>
      </c>
      <c r="D23" s="1760" t="s">
        <v>7137</v>
      </c>
      <c r="E23" s="1649" t="s">
        <v>7138</v>
      </c>
      <c r="F23" s="1700">
        <v>907</v>
      </c>
      <c r="G23" s="1706">
        <v>969.09999999999991</v>
      </c>
      <c r="H23" s="1706">
        <v>878973.7</v>
      </c>
      <c r="I23" s="1703"/>
      <c r="J23" s="1704"/>
      <c r="K23" s="1706"/>
    </row>
    <row r="24" spans="1:11" ht="24.75" customHeight="1">
      <c r="A24" s="1644" t="s">
        <v>7139</v>
      </c>
      <c r="B24" s="1746" t="s">
        <v>7140</v>
      </c>
      <c r="C24" s="1747" t="s">
        <v>7141</v>
      </c>
      <c r="D24" s="1748" t="s">
        <v>7142</v>
      </c>
      <c r="E24" s="1646" t="s">
        <v>7143</v>
      </c>
      <c r="F24" s="1700">
        <v>48</v>
      </c>
      <c r="G24" s="1706">
        <v>1242.75</v>
      </c>
      <c r="H24" s="1706">
        <v>59652</v>
      </c>
      <c r="I24" s="1703"/>
      <c r="J24" s="1704"/>
      <c r="K24" s="1706"/>
    </row>
    <row r="25" spans="1:11" ht="13.5" customHeight="1">
      <c r="A25" s="1644" t="s">
        <v>7144</v>
      </c>
      <c r="B25" s="1751" t="s">
        <v>7145</v>
      </c>
      <c r="C25" s="1751" t="s">
        <v>7146</v>
      </c>
      <c r="D25" s="1760" t="s">
        <v>7147</v>
      </c>
      <c r="E25" s="1649" t="s">
        <v>7148</v>
      </c>
      <c r="F25" s="1700">
        <v>380</v>
      </c>
      <c r="G25" s="1706">
        <v>1786.9454736842106</v>
      </c>
      <c r="H25" s="1706">
        <v>679039.28</v>
      </c>
      <c r="I25" s="1703"/>
      <c r="J25" s="1704"/>
      <c r="K25" s="1706">
        <v>345354.2</v>
      </c>
    </row>
    <row r="26" spans="1:11" ht="13.5" customHeight="1">
      <c r="A26" s="1644" t="s">
        <v>7149</v>
      </c>
      <c r="B26" s="1761" t="s">
        <v>7145</v>
      </c>
      <c r="C26" s="1761" t="s">
        <v>7146</v>
      </c>
      <c r="D26" s="1760" t="s">
        <v>7147</v>
      </c>
      <c r="E26" s="1649" t="s">
        <v>7150</v>
      </c>
      <c r="F26" s="1700"/>
      <c r="G26" s="1706"/>
      <c r="H26" s="1706"/>
      <c r="I26" s="1703"/>
      <c r="J26" s="1704"/>
      <c r="K26" s="1706">
        <v>155743.92000000001</v>
      </c>
    </row>
    <row r="27" spans="1:11" ht="13.5" customHeight="1">
      <c r="A27" s="1654" t="s">
        <v>7151</v>
      </c>
      <c r="B27" s="1761" t="s">
        <v>7129</v>
      </c>
      <c r="C27" s="1761" t="s">
        <v>7152</v>
      </c>
      <c r="D27" s="1760" t="s">
        <v>7153</v>
      </c>
      <c r="E27" s="1649" t="s">
        <v>7154</v>
      </c>
      <c r="F27" s="1700"/>
      <c r="G27" s="1706"/>
      <c r="H27" s="1706"/>
      <c r="I27" s="1703"/>
      <c r="J27" s="1704"/>
      <c r="K27" s="1706">
        <v>367241.49</v>
      </c>
    </row>
    <row r="28" spans="1:11" ht="13.5" customHeight="1">
      <c r="A28" s="1644" t="s">
        <v>7155</v>
      </c>
      <c r="B28" s="1751" t="s">
        <v>7140</v>
      </c>
      <c r="C28" s="1751" t="s">
        <v>7156</v>
      </c>
      <c r="D28" s="1760" t="s">
        <v>7157</v>
      </c>
      <c r="E28" s="1649" t="s">
        <v>7158</v>
      </c>
      <c r="F28" s="1700">
        <v>80</v>
      </c>
      <c r="G28" s="1706">
        <v>5482</v>
      </c>
      <c r="H28" s="1706">
        <v>438560</v>
      </c>
      <c r="I28" s="1703"/>
      <c r="J28" s="1704"/>
      <c r="K28" s="1706"/>
    </row>
    <row r="29" spans="1:11" ht="13.5" customHeight="1">
      <c r="A29" s="1644" t="s">
        <v>7159</v>
      </c>
      <c r="B29" s="1749" t="s">
        <v>7140</v>
      </c>
      <c r="C29" s="1591" t="s">
        <v>7160</v>
      </c>
      <c r="D29" s="1745" t="s">
        <v>7131</v>
      </c>
      <c r="E29" s="1643" t="s">
        <v>7161</v>
      </c>
      <c r="F29" s="1700">
        <v>21</v>
      </c>
      <c r="G29" s="1706">
        <v>1536.6966666666667</v>
      </c>
      <c r="H29" s="1706">
        <v>32270.63</v>
      </c>
      <c r="I29" s="1703"/>
      <c r="J29" s="1704"/>
      <c r="K29" s="1706"/>
    </row>
    <row r="30" spans="1:11" ht="13.5" customHeight="1">
      <c r="A30" s="1644" t="s">
        <v>7162</v>
      </c>
      <c r="B30" s="1746" t="s">
        <v>7140</v>
      </c>
      <c r="C30" s="1762" t="s">
        <v>7160</v>
      </c>
      <c r="D30" s="1748" t="s">
        <v>7142</v>
      </c>
      <c r="E30" s="1646" t="s">
        <v>7163</v>
      </c>
      <c r="F30" s="1700">
        <v>33</v>
      </c>
      <c r="G30" s="1706">
        <v>1587</v>
      </c>
      <c r="H30" s="1706">
        <v>52361.01</v>
      </c>
      <c r="I30" s="1703"/>
      <c r="J30" s="1704"/>
      <c r="K30" s="1706"/>
    </row>
    <row r="31" spans="1:11" ht="13.5" customHeight="1">
      <c r="A31" s="1644" t="s">
        <v>7164</v>
      </c>
      <c r="B31" s="1763" t="s">
        <v>7140</v>
      </c>
      <c r="C31" s="1751" t="s">
        <v>7156</v>
      </c>
      <c r="D31" s="1760" t="s">
        <v>7157</v>
      </c>
      <c r="E31" s="1649" t="s">
        <v>7165</v>
      </c>
      <c r="F31" s="1700">
        <v>45</v>
      </c>
      <c r="G31" s="1706">
        <v>2738.8437777777776</v>
      </c>
      <c r="H31" s="1706">
        <v>123247.97</v>
      </c>
      <c r="I31" s="1703"/>
      <c r="J31" s="1704"/>
      <c r="K31" s="1706">
        <v>100738.38</v>
      </c>
    </row>
    <row r="32" spans="1:11" ht="13.5" customHeight="1">
      <c r="A32" s="1644" t="s">
        <v>7166</v>
      </c>
      <c r="B32" s="1763" t="s">
        <v>7140</v>
      </c>
      <c r="C32" s="1761" t="s">
        <v>7156</v>
      </c>
      <c r="D32" s="1760" t="s">
        <v>7142</v>
      </c>
      <c r="E32" s="1649" t="s">
        <v>7167</v>
      </c>
      <c r="F32" s="1700"/>
      <c r="G32" s="1706"/>
      <c r="H32" s="1706"/>
      <c r="I32" s="1703"/>
      <c r="J32" s="1704"/>
      <c r="K32" s="1706">
        <v>373470.09</v>
      </c>
    </row>
    <row r="33" spans="1:11">
      <c r="A33" s="1644" t="s">
        <v>7168</v>
      </c>
      <c r="B33" s="1746" t="s">
        <v>7169</v>
      </c>
      <c r="C33" s="1747" t="s">
        <v>7170</v>
      </c>
      <c r="D33" s="1748" t="s">
        <v>7171</v>
      </c>
      <c r="E33" s="1646" t="s">
        <v>7172</v>
      </c>
      <c r="F33" s="1700">
        <v>600</v>
      </c>
      <c r="G33" s="1706">
        <v>491</v>
      </c>
      <c r="H33" s="1706">
        <v>294600</v>
      </c>
      <c r="I33" s="1703"/>
      <c r="J33" s="1704"/>
      <c r="K33" s="1706">
        <v>161124.79999999999</v>
      </c>
    </row>
    <row r="34" spans="1:11" ht="51">
      <c r="A34" s="1644" t="s">
        <v>7173</v>
      </c>
      <c r="B34" s="1752" t="s">
        <v>7174</v>
      </c>
      <c r="C34" s="1753" t="s">
        <v>7175</v>
      </c>
      <c r="D34" s="1754" t="s">
        <v>7110</v>
      </c>
      <c r="E34" s="1646" t="s">
        <v>7176</v>
      </c>
      <c r="F34" s="1700">
        <v>90</v>
      </c>
      <c r="G34" s="1706">
        <v>1043</v>
      </c>
      <c r="H34" s="1706">
        <v>93870</v>
      </c>
      <c r="I34" s="1703"/>
      <c r="J34" s="1704"/>
      <c r="K34" s="1706">
        <v>8540.6299999999992</v>
      </c>
    </row>
    <row r="35" spans="1:11">
      <c r="A35" s="1644" t="s">
        <v>7177</v>
      </c>
      <c r="B35" s="1763" t="s">
        <v>7178</v>
      </c>
      <c r="C35" s="1751" t="s">
        <v>7179</v>
      </c>
      <c r="D35" s="1748" t="s">
        <v>7092</v>
      </c>
      <c r="E35" s="1649" t="s">
        <v>7180</v>
      </c>
      <c r="F35" s="1700">
        <v>40</v>
      </c>
      <c r="G35" s="1706">
        <v>1583</v>
      </c>
      <c r="H35" s="1706">
        <v>63320</v>
      </c>
      <c r="I35" s="1703"/>
      <c r="J35" s="1704"/>
      <c r="K35" s="1706">
        <v>12628.64</v>
      </c>
    </row>
    <row r="36" spans="1:11" s="13" customFormat="1" ht="15.75">
      <c r="A36" s="1644" t="s">
        <v>7181</v>
      </c>
      <c r="B36" s="1752" t="s">
        <v>7178</v>
      </c>
      <c r="C36" s="1591" t="s">
        <v>7182</v>
      </c>
      <c r="D36" s="1750" t="s">
        <v>7142</v>
      </c>
      <c r="E36" s="1648" t="s">
        <v>7183</v>
      </c>
      <c r="F36" s="1700">
        <v>60</v>
      </c>
      <c r="G36" s="1706">
        <v>276.82</v>
      </c>
      <c r="H36" s="1706">
        <v>16609.2</v>
      </c>
      <c r="I36" s="1703"/>
      <c r="J36" s="1704"/>
      <c r="K36" s="1706">
        <v>332.42</v>
      </c>
    </row>
    <row r="37" spans="1:11" ht="38.25">
      <c r="A37" s="1644" t="s">
        <v>7184</v>
      </c>
      <c r="B37" s="1752" t="s">
        <v>7178</v>
      </c>
      <c r="C37" s="1747" t="s">
        <v>7182</v>
      </c>
      <c r="D37" s="1748" t="s">
        <v>7185</v>
      </c>
      <c r="E37" s="1648" t="s">
        <v>7186</v>
      </c>
      <c r="F37" s="1700"/>
      <c r="G37" s="1706"/>
      <c r="H37" s="1706"/>
      <c r="I37" s="1703"/>
      <c r="J37" s="1704"/>
      <c r="K37" s="1706"/>
    </row>
    <row r="38" spans="1:11" ht="15">
      <c r="A38" s="1644" t="s">
        <v>7187</v>
      </c>
      <c r="B38" s="1764" t="s">
        <v>7174</v>
      </c>
      <c r="C38" s="1765" t="s">
        <v>7188</v>
      </c>
      <c r="D38" s="1751" t="s">
        <v>7142</v>
      </c>
      <c r="E38" s="149" t="s">
        <v>7176</v>
      </c>
      <c r="F38" s="1700"/>
      <c r="G38" s="1706"/>
      <c r="H38" s="1706"/>
      <c r="I38" s="1703"/>
      <c r="J38" s="1704"/>
      <c r="K38" s="1706">
        <v>136650.07999999999</v>
      </c>
    </row>
    <row r="39" spans="1:11" ht="25.5">
      <c r="A39" s="1644" t="s">
        <v>7189</v>
      </c>
      <c r="B39" s="1766" t="s">
        <v>7174</v>
      </c>
      <c r="C39" s="1751" t="s">
        <v>7190</v>
      </c>
      <c r="D39" s="1760" t="s">
        <v>7101</v>
      </c>
      <c r="E39" s="1655" t="s">
        <v>7191</v>
      </c>
      <c r="F39" s="1700"/>
      <c r="G39" s="1706"/>
      <c r="H39" s="1706"/>
      <c r="I39" s="1703"/>
      <c r="J39" s="1704"/>
      <c r="K39" s="1706">
        <v>15927.38</v>
      </c>
    </row>
    <row r="40" spans="1:11" ht="25.5">
      <c r="A40" s="1644" t="s">
        <v>7192</v>
      </c>
      <c r="B40" s="1759" t="s">
        <v>7174</v>
      </c>
      <c r="C40" s="1751" t="s">
        <v>7190</v>
      </c>
      <c r="D40" s="1760" t="s">
        <v>7147</v>
      </c>
      <c r="E40" s="1649" t="s">
        <v>7193</v>
      </c>
      <c r="F40" s="1700">
        <v>331</v>
      </c>
      <c r="G40" s="1706">
        <v>1311.5454682779455</v>
      </c>
      <c r="H40" s="1706">
        <v>434121.55</v>
      </c>
      <c r="I40" s="1703"/>
      <c r="J40" s="1704"/>
      <c r="K40" s="1706">
        <v>158611.70000000001</v>
      </c>
    </row>
    <row r="41" spans="1:11">
      <c r="A41" s="1644" t="s">
        <v>7194</v>
      </c>
      <c r="B41" s="1746" t="s">
        <v>7195</v>
      </c>
      <c r="C41" s="1747" t="s">
        <v>7196</v>
      </c>
      <c r="D41" s="1748" t="s">
        <v>7092</v>
      </c>
      <c r="E41" s="1646" t="s">
        <v>7197</v>
      </c>
      <c r="F41" s="1700">
        <v>50</v>
      </c>
      <c r="G41" s="1706">
        <v>2498</v>
      </c>
      <c r="H41" s="1706">
        <v>124900</v>
      </c>
      <c r="I41" s="1703"/>
      <c r="J41" s="1704"/>
      <c r="K41" s="1706">
        <v>104976.74</v>
      </c>
    </row>
    <row r="42" spans="1:11" ht="25.5">
      <c r="A42" s="1644" t="s">
        <v>7198</v>
      </c>
      <c r="B42" s="1759" t="s">
        <v>7199</v>
      </c>
      <c r="C42" s="1751" t="s">
        <v>7200</v>
      </c>
      <c r="D42" s="1760" t="s">
        <v>7147</v>
      </c>
      <c r="E42" s="1646"/>
      <c r="F42" s="1700">
        <v>14</v>
      </c>
      <c r="G42" s="1706">
        <v>3979</v>
      </c>
      <c r="H42" s="1706">
        <v>55706</v>
      </c>
      <c r="I42" s="1703"/>
      <c r="J42" s="1704"/>
      <c r="K42" s="1706"/>
    </row>
    <row r="43" spans="1:11">
      <c r="A43" s="1644" t="s">
        <v>7201</v>
      </c>
      <c r="B43" s="1746" t="s">
        <v>7202</v>
      </c>
      <c r="C43" s="1747" t="s">
        <v>7203</v>
      </c>
      <c r="D43" s="1748" t="s">
        <v>7092</v>
      </c>
      <c r="E43" s="1646" t="s">
        <v>7204</v>
      </c>
      <c r="F43" s="1700">
        <v>292</v>
      </c>
      <c r="G43" s="1706">
        <v>145.75</v>
      </c>
      <c r="H43" s="1706">
        <v>42559</v>
      </c>
      <c r="I43" s="1703"/>
      <c r="J43" s="1704"/>
      <c r="K43" s="1706"/>
    </row>
    <row r="44" spans="1:11">
      <c r="A44" s="1644" t="s">
        <v>7205</v>
      </c>
      <c r="B44" s="1759" t="s">
        <v>7202</v>
      </c>
      <c r="C44" s="1751" t="s">
        <v>7206</v>
      </c>
      <c r="D44" s="1759" t="s">
        <v>7142</v>
      </c>
      <c r="E44" s="1655" t="s">
        <v>7207</v>
      </c>
      <c r="F44" s="1700"/>
      <c r="G44" s="1706"/>
      <c r="H44" s="1706"/>
      <c r="I44" s="1703"/>
      <c r="J44" s="1704"/>
      <c r="K44" s="1706">
        <v>165303.73000000001</v>
      </c>
    </row>
    <row r="45" spans="1:11" ht="25.5">
      <c r="A45" s="1644" t="s">
        <v>7208</v>
      </c>
      <c r="B45" s="1767" t="s">
        <v>7209</v>
      </c>
      <c r="C45" s="1767" t="s">
        <v>7210</v>
      </c>
      <c r="D45" s="1750" t="s">
        <v>7211</v>
      </c>
      <c r="E45" s="1648" t="s">
        <v>7212</v>
      </c>
      <c r="F45" s="1700"/>
      <c r="G45" s="1706"/>
      <c r="H45" s="1706"/>
      <c r="I45" s="1703"/>
      <c r="J45" s="1704"/>
      <c r="K45" s="1706"/>
    </row>
    <row r="46" spans="1:11">
      <c r="A46" s="1644" t="s">
        <v>7213</v>
      </c>
      <c r="B46" s="1749" t="s">
        <v>7202</v>
      </c>
      <c r="C46" s="1591" t="s">
        <v>7214</v>
      </c>
      <c r="D46" s="1748" t="s">
        <v>7092</v>
      </c>
      <c r="E46" s="1648" t="s">
        <v>7215</v>
      </c>
      <c r="F46" s="1700">
        <v>190</v>
      </c>
      <c r="G46" s="1706">
        <v>1265.4624736842104</v>
      </c>
      <c r="H46" s="1706">
        <v>240437.87</v>
      </c>
      <c r="I46" s="1703"/>
      <c r="J46" s="1704"/>
      <c r="K46" s="1706">
        <v>139158.21</v>
      </c>
    </row>
    <row r="47" spans="1:11" ht="25.5">
      <c r="A47" s="1644" t="s">
        <v>7216</v>
      </c>
      <c r="B47" s="1746" t="s">
        <v>7209</v>
      </c>
      <c r="C47" s="1747" t="s">
        <v>7217</v>
      </c>
      <c r="D47" s="1748" t="s">
        <v>7211</v>
      </c>
      <c r="E47" s="1646" t="s">
        <v>7218</v>
      </c>
      <c r="F47" s="1700">
        <v>122</v>
      </c>
      <c r="G47" s="1706">
        <v>398.48680327868851</v>
      </c>
      <c r="H47" s="1706">
        <v>48615.39</v>
      </c>
      <c r="I47" s="1703"/>
      <c r="J47" s="1704"/>
      <c r="K47" s="1706">
        <v>33377.620000000003</v>
      </c>
    </row>
    <row r="48" spans="1:11">
      <c r="A48" s="1644" t="s">
        <v>7219</v>
      </c>
      <c r="B48" s="1746" t="s">
        <v>7220</v>
      </c>
      <c r="C48" s="1747" t="s">
        <v>7221</v>
      </c>
      <c r="D48" s="1748" t="s">
        <v>7092</v>
      </c>
      <c r="E48" s="1646" t="s">
        <v>7222</v>
      </c>
      <c r="F48" s="1700">
        <v>353</v>
      </c>
      <c r="G48" s="1706">
        <v>425.33628895184131</v>
      </c>
      <c r="H48" s="1706">
        <v>150143.71</v>
      </c>
      <c r="I48" s="1703"/>
      <c r="J48" s="1704"/>
      <c r="K48" s="1706"/>
    </row>
    <row r="49" spans="1:11">
      <c r="A49" s="1644" t="s">
        <v>7223</v>
      </c>
      <c r="B49" s="1746" t="s">
        <v>7220</v>
      </c>
      <c r="C49" s="1747" t="s">
        <v>7221</v>
      </c>
      <c r="D49" s="1748" t="s">
        <v>7092</v>
      </c>
      <c r="E49" s="1646" t="s">
        <v>7224</v>
      </c>
      <c r="F49" s="1700">
        <v>613</v>
      </c>
      <c r="G49" s="1706">
        <v>1515.4725122349103</v>
      </c>
      <c r="H49" s="1706">
        <v>928984.65</v>
      </c>
      <c r="I49" s="1703"/>
      <c r="J49" s="1704"/>
      <c r="K49" s="1706"/>
    </row>
    <row r="50" spans="1:11" ht="25.5">
      <c r="A50" s="1644" t="s">
        <v>7225</v>
      </c>
      <c r="B50" s="1759" t="s">
        <v>7202</v>
      </c>
      <c r="C50" s="1751" t="s">
        <v>7226</v>
      </c>
      <c r="D50" s="1760" t="s">
        <v>7147</v>
      </c>
      <c r="E50" s="1649" t="s">
        <v>7227</v>
      </c>
      <c r="F50" s="1700">
        <v>56</v>
      </c>
      <c r="G50" s="1706">
        <v>1257.9107142857142</v>
      </c>
      <c r="H50" s="1706">
        <v>70443</v>
      </c>
      <c r="I50" s="1703"/>
      <c r="J50" s="1704"/>
      <c r="K50" s="1706"/>
    </row>
    <row r="51" spans="1:11" ht="38.25">
      <c r="A51" s="1644" t="s">
        <v>7228</v>
      </c>
      <c r="B51" s="1756" t="s">
        <v>7229</v>
      </c>
      <c r="C51" s="1591" t="s">
        <v>7230</v>
      </c>
      <c r="D51" s="1783" t="s">
        <v>7231</v>
      </c>
      <c r="E51" s="1648" t="s">
        <v>7232</v>
      </c>
      <c r="F51" s="1700"/>
      <c r="G51" s="1706"/>
      <c r="H51" s="1706"/>
      <c r="I51" s="1703"/>
      <c r="J51" s="1704"/>
      <c r="K51" s="1706"/>
    </row>
    <row r="52" spans="1:11" ht="25.5">
      <c r="A52" s="1644" t="s">
        <v>7233</v>
      </c>
      <c r="B52" s="1768" t="s">
        <v>7220</v>
      </c>
      <c r="C52" s="1751" t="s">
        <v>7234</v>
      </c>
      <c r="D52" s="1760" t="s">
        <v>7147</v>
      </c>
      <c r="E52" s="1649" t="s">
        <v>7235</v>
      </c>
      <c r="F52" s="1700">
        <v>12</v>
      </c>
      <c r="G52" s="1706">
        <v>2464.23</v>
      </c>
      <c r="H52" s="1706">
        <v>29570.76</v>
      </c>
      <c r="I52" s="1703"/>
      <c r="J52" s="1704"/>
      <c r="K52" s="1706"/>
    </row>
    <row r="53" spans="1:11" ht="26.25">
      <c r="A53" s="1644" t="s">
        <v>7236</v>
      </c>
      <c r="B53" s="1769" t="s">
        <v>7220</v>
      </c>
      <c r="C53" s="1770" t="s">
        <v>7234</v>
      </c>
      <c r="D53" s="1763" t="s">
        <v>7237</v>
      </c>
      <c r="E53" s="1655" t="s">
        <v>7238</v>
      </c>
      <c r="F53" s="1700"/>
      <c r="G53" s="1706"/>
      <c r="H53" s="1706"/>
      <c r="I53" s="1703"/>
      <c r="J53" s="1704"/>
      <c r="K53" s="1706">
        <v>49284.6</v>
      </c>
    </row>
    <row r="54" spans="1:11" ht="63.75">
      <c r="A54" s="1644" t="s">
        <v>7239</v>
      </c>
      <c r="B54" s="1766" t="s">
        <v>7220</v>
      </c>
      <c r="C54" s="1780" t="s">
        <v>7240</v>
      </c>
      <c r="D54" s="1763" t="s">
        <v>7241</v>
      </c>
      <c r="E54" s="1655" t="s">
        <v>7242</v>
      </c>
      <c r="F54" s="1700"/>
      <c r="G54" s="1706"/>
      <c r="H54" s="1706"/>
      <c r="I54" s="1703"/>
      <c r="J54" s="1704"/>
      <c r="K54" s="1706">
        <v>114734.39999999999</v>
      </c>
    </row>
    <row r="55" spans="1:11" ht="25.5">
      <c r="A55" s="1644" t="s">
        <v>7243</v>
      </c>
      <c r="B55" s="1759" t="s">
        <v>7220</v>
      </c>
      <c r="C55" s="609" t="s">
        <v>7244</v>
      </c>
      <c r="D55" s="1784" t="s">
        <v>7101</v>
      </c>
      <c r="E55" s="1785" t="s">
        <v>7245</v>
      </c>
      <c r="F55" s="1700"/>
      <c r="G55" s="1706"/>
      <c r="H55" s="1706"/>
      <c r="I55" s="1703"/>
      <c r="J55" s="1704"/>
      <c r="K55" s="1706">
        <v>519952.53</v>
      </c>
    </row>
    <row r="56" spans="1:11" ht="25.5">
      <c r="A56" s="1644" t="s">
        <v>7246</v>
      </c>
      <c r="B56" s="1771" t="s">
        <v>7199</v>
      </c>
      <c r="C56" s="609" t="s">
        <v>7247</v>
      </c>
      <c r="D56" s="1763" t="s">
        <v>7248</v>
      </c>
      <c r="E56" s="1785" t="s">
        <v>7249</v>
      </c>
      <c r="F56" s="1700"/>
      <c r="G56" s="1706"/>
      <c r="H56" s="1706"/>
      <c r="I56" s="1703"/>
      <c r="J56" s="1704"/>
      <c r="K56" s="1706">
        <v>52152</v>
      </c>
    </row>
    <row r="57" spans="1:11" ht="25.5">
      <c r="A57" s="1644" t="s">
        <v>7250</v>
      </c>
      <c r="B57" s="1759" t="s">
        <v>7199</v>
      </c>
      <c r="C57" s="1751" t="s">
        <v>7251</v>
      </c>
      <c r="D57" s="1760" t="s">
        <v>7147</v>
      </c>
      <c r="E57" s="1786" t="s">
        <v>7252</v>
      </c>
      <c r="F57" s="1700">
        <v>41</v>
      </c>
      <c r="G57" s="1706">
        <v>3279.8912195121952</v>
      </c>
      <c r="H57" s="1706">
        <v>134475.54</v>
      </c>
      <c r="I57" s="1703"/>
      <c r="J57" s="1704"/>
      <c r="K57" s="1706">
        <v>65808.320000000007</v>
      </c>
    </row>
    <row r="58" spans="1:11" ht="25.5">
      <c r="A58" s="1644" t="s">
        <v>7253</v>
      </c>
      <c r="B58" s="1746" t="s">
        <v>7254</v>
      </c>
      <c r="C58" s="1747" t="s">
        <v>7255</v>
      </c>
      <c r="D58" s="1748" t="s">
        <v>7092</v>
      </c>
      <c r="E58" s="1646" t="s">
        <v>7256</v>
      </c>
      <c r="F58" s="1700">
        <v>1</v>
      </c>
      <c r="G58" s="1706">
        <v>11059.95</v>
      </c>
      <c r="H58" s="1706">
        <v>11059.95</v>
      </c>
      <c r="I58" s="1703"/>
      <c r="J58" s="1704"/>
      <c r="K58" s="1706"/>
    </row>
    <row r="59" spans="1:11">
      <c r="A59" s="1657" t="s">
        <v>7257</v>
      </c>
      <c r="B59" s="1748" t="s">
        <v>7258</v>
      </c>
      <c r="C59" s="1772" t="s">
        <v>7259</v>
      </c>
      <c r="D59" s="1748" t="s">
        <v>7092</v>
      </c>
      <c r="E59" s="1646" t="s">
        <v>7260</v>
      </c>
      <c r="F59" s="1700">
        <v>140</v>
      </c>
      <c r="G59" s="1706">
        <v>10986</v>
      </c>
      <c r="H59" s="1706">
        <v>1538040</v>
      </c>
      <c r="I59" s="1703"/>
      <c r="J59" s="1704"/>
      <c r="K59" s="1706">
        <v>512598.76</v>
      </c>
    </row>
    <row r="60" spans="1:11">
      <c r="A60" s="1657" t="s">
        <v>7261</v>
      </c>
      <c r="B60" s="1748" t="s">
        <v>7258</v>
      </c>
      <c r="C60" s="1772" t="s">
        <v>7259</v>
      </c>
      <c r="D60" s="1748" t="s">
        <v>7092</v>
      </c>
      <c r="E60" s="1646" t="s">
        <v>7262</v>
      </c>
      <c r="F60" s="1700"/>
      <c r="G60" s="1706"/>
      <c r="H60" s="1706"/>
      <c r="I60" s="1703"/>
      <c r="J60" s="1704"/>
      <c r="K60" s="1706"/>
    </row>
    <row r="61" spans="1:11">
      <c r="A61" s="1657" t="s">
        <v>7263</v>
      </c>
      <c r="B61" s="1748" t="s">
        <v>7264</v>
      </c>
      <c r="C61" s="1772" t="s">
        <v>7265</v>
      </c>
      <c r="D61" s="1748" t="s">
        <v>7092</v>
      </c>
      <c r="E61" s="1646" t="s">
        <v>7266</v>
      </c>
      <c r="F61" s="1700">
        <v>224</v>
      </c>
      <c r="G61" s="1706">
        <v>11218</v>
      </c>
      <c r="H61" s="1706">
        <v>2512832</v>
      </c>
      <c r="I61" s="1703"/>
      <c r="J61" s="1704"/>
      <c r="K61" s="1706">
        <f>1882118.71-69500</f>
        <v>1812618.71</v>
      </c>
    </row>
    <row r="62" spans="1:11">
      <c r="A62" s="1657" t="s">
        <v>7267</v>
      </c>
      <c r="B62" s="1748" t="s">
        <v>7264</v>
      </c>
      <c r="C62" s="1772" t="s">
        <v>7268</v>
      </c>
      <c r="D62" s="1748" t="s">
        <v>7092</v>
      </c>
      <c r="E62" s="1646" t="s">
        <v>7269</v>
      </c>
      <c r="F62" s="1700">
        <v>6</v>
      </c>
      <c r="G62" s="1706">
        <v>31604.460000000003</v>
      </c>
      <c r="H62" s="1706">
        <v>189626.76</v>
      </c>
      <c r="I62" s="1703"/>
      <c r="J62" s="1704"/>
      <c r="K62" s="1706">
        <v>67593.899999999994</v>
      </c>
    </row>
    <row r="63" spans="1:11">
      <c r="A63" s="1657" t="s">
        <v>7270</v>
      </c>
      <c r="B63" s="1759" t="s">
        <v>7271</v>
      </c>
      <c r="C63" s="1751" t="s">
        <v>7272</v>
      </c>
      <c r="D63" s="1760" t="s">
        <v>7157</v>
      </c>
      <c r="E63" s="1649" t="s">
        <v>7273</v>
      </c>
      <c r="F63" s="1700">
        <v>480</v>
      </c>
      <c r="G63" s="1706">
        <v>937.2485416666666</v>
      </c>
      <c r="H63" s="1706">
        <v>449879.3</v>
      </c>
      <c r="I63" s="1703"/>
      <c r="J63" s="1704"/>
      <c r="K63" s="1706">
        <v>261478.08</v>
      </c>
    </row>
    <row r="64" spans="1:11" ht="25.5">
      <c r="A64" s="1657" t="s">
        <v>7274</v>
      </c>
      <c r="B64" s="1759" t="s">
        <v>7271</v>
      </c>
      <c r="C64" s="1751" t="s">
        <v>7272</v>
      </c>
      <c r="D64" s="1748" t="s">
        <v>7275</v>
      </c>
      <c r="E64" s="1649" t="s">
        <v>7276</v>
      </c>
      <c r="F64" s="1700">
        <v>215</v>
      </c>
      <c r="G64" s="1706">
        <v>1762.5686046511628</v>
      </c>
      <c r="H64" s="1706">
        <v>378952.25</v>
      </c>
      <c r="I64" s="1703"/>
      <c r="J64" s="1704"/>
      <c r="K64" s="1706">
        <v>332310</v>
      </c>
    </row>
    <row r="65" spans="1:11" ht="38.25">
      <c r="A65" s="1657" t="s">
        <v>7277</v>
      </c>
      <c r="B65" s="534" t="s">
        <v>7278</v>
      </c>
      <c r="C65" s="1591" t="s">
        <v>7279</v>
      </c>
      <c r="D65" s="1750" t="s">
        <v>7280</v>
      </c>
      <c r="E65" s="1648" t="s">
        <v>7281</v>
      </c>
      <c r="F65" s="1700">
        <v>17</v>
      </c>
      <c r="G65" s="1706">
        <v>5862.78</v>
      </c>
      <c r="H65" s="1706">
        <v>99667.26</v>
      </c>
      <c r="I65" s="1703"/>
      <c r="J65" s="1704"/>
      <c r="K65" s="1706"/>
    </row>
    <row r="66" spans="1:11" ht="51">
      <c r="A66" s="1657" t="s">
        <v>7282</v>
      </c>
      <c r="B66" s="1745" t="s">
        <v>7278</v>
      </c>
      <c r="C66" s="1591" t="s">
        <v>7279</v>
      </c>
      <c r="D66" s="1750" t="s">
        <v>7110</v>
      </c>
      <c r="E66" s="1648" t="s">
        <v>7283</v>
      </c>
      <c r="F66" s="1700">
        <v>190</v>
      </c>
      <c r="G66" s="1706">
        <v>2248.06</v>
      </c>
      <c r="H66" s="1706">
        <v>427131.4</v>
      </c>
      <c r="I66" s="1703"/>
      <c r="J66" s="1704"/>
      <c r="K66" s="1706">
        <v>105343.14</v>
      </c>
    </row>
    <row r="67" spans="1:11" ht="38.25">
      <c r="A67" s="1644" t="s">
        <v>7284</v>
      </c>
      <c r="B67" s="1752" t="s">
        <v>7285</v>
      </c>
      <c r="C67" s="1753" t="s">
        <v>7286</v>
      </c>
      <c r="D67" s="1754" t="s">
        <v>7131</v>
      </c>
      <c r="E67" s="1646" t="s">
        <v>7287</v>
      </c>
      <c r="F67" s="1700">
        <v>240</v>
      </c>
      <c r="G67" s="1706">
        <v>3070.8552083333334</v>
      </c>
      <c r="H67" s="1706">
        <v>737005.25</v>
      </c>
      <c r="I67" s="1703"/>
      <c r="J67" s="1704"/>
      <c r="K67" s="1706">
        <v>111799.8</v>
      </c>
    </row>
    <row r="68" spans="1:11" ht="25.5">
      <c r="A68" s="1644" t="s">
        <v>7288</v>
      </c>
      <c r="B68" s="1751" t="s">
        <v>7285</v>
      </c>
      <c r="C68" s="1751" t="s">
        <v>7289</v>
      </c>
      <c r="D68" s="1763" t="s">
        <v>7101</v>
      </c>
      <c r="E68" s="1656" t="s">
        <v>7102</v>
      </c>
      <c r="F68" s="1700"/>
      <c r="G68" s="1706"/>
      <c r="H68" s="1706"/>
      <c r="I68" s="1703"/>
      <c r="J68" s="1704"/>
      <c r="K68" s="1706">
        <v>149066.4</v>
      </c>
    </row>
    <row r="69" spans="1:11" ht="38.25">
      <c r="A69" s="1644" t="s">
        <v>7290</v>
      </c>
      <c r="B69" s="1752" t="s">
        <v>7271</v>
      </c>
      <c r="C69" s="1773" t="s">
        <v>7291</v>
      </c>
      <c r="D69" s="1754" t="s">
        <v>7131</v>
      </c>
      <c r="E69" s="1646" t="s">
        <v>7292</v>
      </c>
      <c r="F69" s="1700">
        <v>553</v>
      </c>
      <c r="G69" s="1706">
        <v>940.36388788426757</v>
      </c>
      <c r="H69" s="1706">
        <v>520021.23</v>
      </c>
      <c r="I69" s="1703"/>
      <c r="J69" s="1704"/>
      <c r="K69" s="1706">
        <v>326847.59999999998</v>
      </c>
    </row>
    <row r="70" spans="1:11" ht="38.25">
      <c r="A70" s="1644" t="s">
        <v>7293</v>
      </c>
      <c r="B70" s="1752" t="s">
        <v>7271</v>
      </c>
      <c r="C70" s="1773" t="s">
        <v>7291</v>
      </c>
      <c r="D70" s="1754" t="s">
        <v>7131</v>
      </c>
      <c r="E70" s="1646" t="s">
        <v>7294</v>
      </c>
      <c r="F70" s="1700">
        <v>172</v>
      </c>
      <c r="G70" s="1706">
        <v>1761.5342441860466</v>
      </c>
      <c r="H70" s="1706">
        <v>302983.89</v>
      </c>
      <c r="I70" s="1703"/>
      <c r="J70" s="1704"/>
      <c r="K70" s="1706">
        <v>388278</v>
      </c>
    </row>
    <row r="71" spans="1:11" ht="38.25">
      <c r="A71" s="1644" t="s">
        <v>7295</v>
      </c>
      <c r="B71" s="1746" t="s">
        <v>7271</v>
      </c>
      <c r="C71" s="1747" t="s">
        <v>7296</v>
      </c>
      <c r="D71" s="1750" t="s">
        <v>7131</v>
      </c>
      <c r="E71" s="1648" t="s">
        <v>7297</v>
      </c>
      <c r="F71" s="1700"/>
      <c r="G71" s="1706"/>
      <c r="H71" s="1706"/>
      <c r="I71" s="1703"/>
      <c r="J71" s="1704"/>
      <c r="K71" s="1706"/>
    </row>
    <row r="72" spans="1:11" ht="38.25">
      <c r="A72" s="1644" t="s">
        <v>7298</v>
      </c>
      <c r="B72" s="1750" t="s">
        <v>7299</v>
      </c>
      <c r="C72" s="1767" t="s">
        <v>7300</v>
      </c>
      <c r="D72" s="1750" t="s">
        <v>7131</v>
      </c>
      <c r="E72" s="1648" t="s">
        <v>7301</v>
      </c>
      <c r="F72" s="1700">
        <v>33</v>
      </c>
      <c r="G72" s="1706">
        <v>2261.1769696969695</v>
      </c>
      <c r="H72" s="1706">
        <v>74618.84</v>
      </c>
      <c r="I72" s="1703"/>
      <c r="J72" s="1704"/>
      <c r="K72" s="1706">
        <v>34692.300000000003</v>
      </c>
    </row>
    <row r="73" spans="1:11" ht="38.25">
      <c r="A73" s="1644" t="s">
        <v>7302</v>
      </c>
      <c r="B73" s="1750" t="s">
        <v>7299</v>
      </c>
      <c r="C73" s="1767" t="s">
        <v>7300</v>
      </c>
      <c r="D73" s="1750" t="s">
        <v>7131</v>
      </c>
      <c r="E73" s="1648" t="s">
        <v>7303</v>
      </c>
      <c r="F73" s="1700">
        <v>38</v>
      </c>
      <c r="G73" s="1706">
        <v>8819.1665789473682</v>
      </c>
      <c r="H73" s="1706">
        <v>335128.33</v>
      </c>
      <c r="I73" s="1703"/>
      <c r="J73" s="1704"/>
      <c r="K73" s="1706">
        <v>228671.5</v>
      </c>
    </row>
    <row r="74" spans="1:11" ht="25.5">
      <c r="A74" s="1644" t="s">
        <v>7304</v>
      </c>
      <c r="B74" s="1746" t="s">
        <v>7305</v>
      </c>
      <c r="C74" s="1747" t="s">
        <v>7306</v>
      </c>
      <c r="D74" s="1750" t="s">
        <v>7211</v>
      </c>
      <c r="E74" s="1648" t="s">
        <v>7307</v>
      </c>
      <c r="F74" s="1700">
        <v>666</v>
      </c>
      <c r="G74" s="1706">
        <v>267.30780780780782</v>
      </c>
      <c r="H74" s="1706">
        <v>178027</v>
      </c>
      <c r="I74" s="1703"/>
      <c r="J74" s="1704"/>
      <c r="K74" s="1706">
        <v>330591.96000000002</v>
      </c>
    </row>
    <row r="75" spans="1:11" ht="25.5">
      <c r="A75" s="1644" t="s">
        <v>7308</v>
      </c>
      <c r="B75" s="1759" t="s">
        <v>7309</v>
      </c>
      <c r="C75" s="1763" t="s">
        <v>7310</v>
      </c>
      <c r="D75" s="1750"/>
      <c r="E75" s="1649" t="s">
        <v>7311</v>
      </c>
      <c r="F75" s="1700">
        <v>2147</v>
      </c>
      <c r="G75" s="1706">
        <v>39.880000000000003</v>
      </c>
      <c r="H75" s="1706">
        <v>85622.36</v>
      </c>
      <c r="I75" s="1703"/>
      <c r="J75" s="1704"/>
      <c r="K75" s="1706"/>
    </row>
    <row r="76" spans="1:11">
      <c r="A76" s="1644" t="s">
        <v>7312</v>
      </c>
      <c r="B76" s="1751" t="s">
        <v>7309</v>
      </c>
      <c r="C76" s="1751" t="s">
        <v>7313</v>
      </c>
      <c r="D76" s="1760" t="s">
        <v>7314</v>
      </c>
      <c r="E76" s="1649" t="s">
        <v>7311</v>
      </c>
      <c r="F76" s="1700">
        <v>16213</v>
      </c>
      <c r="G76" s="1706">
        <v>40.275865046567567</v>
      </c>
      <c r="H76" s="1706">
        <v>652992.6</v>
      </c>
      <c r="I76" s="1703"/>
      <c r="J76" s="1704"/>
      <c r="K76" s="1706">
        <v>506409.6</v>
      </c>
    </row>
    <row r="77" spans="1:11">
      <c r="A77" s="1658">
        <v>1034445</v>
      </c>
      <c r="B77" s="1750" t="s">
        <v>7309</v>
      </c>
      <c r="C77" s="1767" t="s">
        <v>7315</v>
      </c>
      <c r="D77" s="1750" t="s">
        <v>7316</v>
      </c>
      <c r="E77" s="1643" t="s">
        <v>7317</v>
      </c>
      <c r="F77" s="1700">
        <v>59</v>
      </c>
      <c r="G77" s="1706">
        <v>39.880000000000003</v>
      </c>
      <c r="H77" s="1706">
        <v>2352.92</v>
      </c>
      <c r="I77" s="1703"/>
      <c r="J77" s="1704"/>
      <c r="K77" s="1706">
        <v>34068.800000000003</v>
      </c>
    </row>
    <row r="78" spans="1:11">
      <c r="A78" s="1658">
        <v>1039394</v>
      </c>
      <c r="B78" s="1759" t="s">
        <v>7318</v>
      </c>
      <c r="C78" s="1751" t="s">
        <v>7319</v>
      </c>
      <c r="D78" s="1759" t="s">
        <v>7320</v>
      </c>
      <c r="E78" s="1655" t="s">
        <v>7321</v>
      </c>
      <c r="F78" s="1700"/>
      <c r="G78" s="1706"/>
      <c r="H78" s="1706"/>
      <c r="I78" s="1703"/>
      <c r="J78" s="1704"/>
      <c r="K78" s="1706">
        <v>238392</v>
      </c>
    </row>
    <row r="79" spans="1:11">
      <c r="A79" s="1658">
        <v>1039397</v>
      </c>
      <c r="B79" s="1759" t="s">
        <v>7318</v>
      </c>
      <c r="C79" s="1751" t="s">
        <v>7319</v>
      </c>
      <c r="D79" s="1759" t="s">
        <v>7320</v>
      </c>
      <c r="E79" s="1655" t="s">
        <v>7322</v>
      </c>
      <c r="F79" s="1700"/>
      <c r="G79" s="1706"/>
      <c r="H79" s="1706"/>
      <c r="I79" s="1703"/>
      <c r="J79" s="1704"/>
      <c r="K79" s="1706">
        <v>1345212</v>
      </c>
    </row>
    <row r="80" spans="1:11">
      <c r="A80" s="1644" t="s">
        <v>7323</v>
      </c>
      <c r="B80" s="1752" t="s">
        <v>7324</v>
      </c>
      <c r="C80" s="1747" t="s">
        <v>7325</v>
      </c>
      <c r="D80" s="1748" t="s">
        <v>7092</v>
      </c>
      <c r="E80" s="1646" t="s">
        <v>7326</v>
      </c>
      <c r="F80" s="1700"/>
      <c r="G80" s="1706"/>
      <c r="H80" s="1706"/>
      <c r="I80" s="1703"/>
      <c r="J80" s="1704"/>
      <c r="K80" s="1706"/>
    </row>
    <row r="81" spans="1:11" ht="25.5">
      <c r="A81" s="1644" t="s">
        <v>7327</v>
      </c>
      <c r="B81" s="1746" t="s">
        <v>7328</v>
      </c>
      <c r="C81" s="1747" t="s">
        <v>7329</v>
      </c>
      <c r="D81" s="1748" t="s">
        <v>7330</v>
      </c>
      <c r="E81" s="1645" t="s">
        <v>7183</v>
      </c>
      <c r="F81" s="1700">
        <v>14</v>
      </c>
      <c r="G81" s="1706">
        <v>5654</v>
      </c>
      <c r="H81" s="1706">
        <v>79156</v>
      </c>
      <c r="I81" s="1703"/>
      <c r="J81" s="1704"/>
      <c r="K81" s="1706">
        <v>67848</v>
      </c>
    </row>
    <row r="82" spans="1:11">
      <c r="A82" s="1644" t="s">
        <v>7331</v>
      </c>
      <c r="B82" s="1746" t="s">
        <v>7278</v>
      </c>
      <c r="C82" s="1774" t="s">
        <v>7332</v>
      </c>
      <c r="D82" s="1755" t="s">
        <v>7333</v>
      </c>
      <c r="E82" s="1645" t="s">
        <v>7334</v>
      </c>
      <c r="F82" s="1700"/>
      <c r="G82" s="1706"/>
      <c r="H82" s="1706"/>
      <c r="I82" s="1703"/>
      <c r="J82" s="1704"/>
      <c r="K82" s="1706"/>
    </row>
    <row r="83" spans="1:11" ht="38.25">
      <c r="A83" s="1644" t="s">
        <v>7335</v>
      </c>
      <c r="B83" s="1746" t="s">
        <v>7336</v>
      </c>
      <c r="C83" s="1775" t="s">
        <v>7337</v>
      </c>
      <c r="D83" s="1748" t="s">
        <v>7338</v>
      </c>
      <c r="E83" s="1645"/>
      <c r="F83" s="1700">
        <v>170</v>
      </c>
      <c r="G83" s="1706">
        <v>8111</v>
      </c>
      <c r="H83" s="1706">
        <v>1378870</v>
      </c>
      <c r="I83" s="1703"/>
      <c r="J83" s="1704"/>
      <c r="K83" s="1706">
        <v>555427.4</v>
      </c>
    </row>
    <row r="84" spans="1:11" ht="51">
      <c r="A84" s="1644" t="s">
        <v>7339</v>
      </c>
      <c r="B84" s="1745" t="s">
        <v>7095</v>
      </c>
      <c r="C84" s="1775" t="s">
        <v>7340</v>
      </c>
      <c r="D84" s="1750" t="s">
        <v>7341</v>
      </c>
      <c r="E84" s="1645"/>
      <c r="F84" s="1700">
        <v>70</v>
      </c>
      <c r="G84" s="1706">
        <v>1445.8764285714287</v>
      </c>
      <c r="H84" s="1706">
        <v>101211.35</v>
      </c>
      <c r="I84" s="1703"/>
      <c r="J84" s="1704"/>
      <c r="K84" s="1706">
        <v>28914.48</v>
      </c>
    </row>
    <row r="85" spans="1:11">
      <c r="A85" s="1644"/>
      <c r="B85" s="1745"/>
      <c r="C85" s="1775"/>
      <c r="D85" s="1750"/>
      <c r="E85" s="1645"/>
      <c r="F85" s="1700"/>
      <c r="G85" s="1706"/>
      <c r="H85" s="1706"/>
      <c r="I85" s="1703"/>
      <c r="J85" s="1704"/>
      <c r="K85" s="1700"/>
    </row>
    <row r="86" spans="1:11">
      <c r="A86" s="102"/>
      <c r="B86" s="102"/>
      <c r="C86" s="102"/>
      <c r="D86" s="102"/>
      <c r="E86" s="102"/>
      <c r="F86" s="1618"/>
      <c r="G86" s="1618"/>
      <c r="H86" s="1707"/>
      <c r="I86" s="1618"/>
      <c r="J86" s="1370"/>
      <c r="K86" s="1707"/>
    </row>
    <row r="87" spans="1:11">
      <c r="A87" s="2325" t="s">
        <v>7342</v>
      </c>
      <c r="B87" s="2326"/>
      <c r="C87" s="2326"/>
      <c r="D87" s="2326"/>
      <c r="E87" s="2327"/>
      <c r="F87" s="1618"/>
      <c r="G87" s="1618"/>
      <c r="H87" s="1618"/>
      <c r="I87" s="1618"/>
      <c r="J87" s="1370"/>
      <c r="K87" s="1618"/>
    </row>
    <row r="88" spans="1:11">
      <c r="A88" s="1659"/>
      <c r="B88" s="1660"/>
      <c r="C88" s="1660"/>
      <c r="D88" s="1660"/>
      <c r="E88" s="1661"/>
      <c r="F88" s="1618"/>
      <c r="G88" s="1618"/>
      <c r="H88" s="1708"/>
      <c r="I88" s="1618"/>
      <c r="J88" s="1370"/>
      <c r="K88" s="1708"/>
    </row>
    <row r="89" spans="1:11">
      <c r="A89" s="1659"/>
      <c r="B89" s="1660"/>
      <c r="C89" s="1660"/>
      <c r="D89" s="1660"/>
      <c r="E89" s="1661"/>
      <c r="F89" s="1618"/>
      <c r="G89" s="1618"/>
      <c r="H89" s="1708"/>
      <c r="I89" s="1618"/>
      <c r="J89" s="1370"/>
      <c r="K89" s="1708"/>
    </row>
    <row r="90" spans="1:11">
      <c r="A90" s="1659"/>
      <c r="B90" s="1660"/>
      <c r="C90" s="1660"/>
      <c r="D90" s="1660"/>
      <c r="E90" s="1661"/>
      <c r="F90" s="1618"/>
      <c r="G90" s="1618"/>
      <c r="H90" s="1708"/>
      <c r="I90" s="1618"/>
      <c r="J90" s="1370"/>
      <c r="K90" s="1708"/>
    </row>
    <row r="91" spans="1:11" ht="13.5" thickBot="1">
      <c r="A91" s="102"/>
      <c r="B91" s="102"/>
      <c r="C91" s="102"/>
      <c r="D91" s="102"/>
      <c r="E91" s="102"/>
      <c r="F91" s="1618"/>
      <c r="G91" s="1618"/>
      <c r="H91" s="1708"/>
      <c r="I91" s="1618"/>
      <c r="J91" s="1370"/>
      <c r="K91" s="1708"/>
    </row>
    <row r="92" spans="1:11" ht="15">
      <c r="A92" s="1662" t="s">
        <v>1811</v>
      </c>
      <c r="B92" s="1662"/>
      <c r="C92" s="1662"/>
      <c r="D92" s="84"/>
      <c r="E92" s="90"/>
      <c r="F92" s="1709"/>
      <c r="G92" s="1701"/>
      <c r="H92" s="1702">
        <v>10364000</v>
      </c>
      <c r="I92" s="1710"/>
      <c r="J92" s="1711"/>
      <c r="K92" s="1702">
        <f>+K93+K94+K95+K96+K97+K98+K99+K100+K101+K102+K103+K104+K105</f>
        <v>5457630.3000000007</v>
      </c>
    </row>
    <row r="93" spans="1:11">
      <c r="A93" s="1663" t="s">
        <v>7343</v>
      </c>
      <c r="B93" s="1664" t="s">
        <v>7344</v>
      </c>
      <c r="C93" s="1665" t="s">
        <v>7345</v>
      </c>
      <c r="D93" s="1760" t="s">
        <v>7157</v>
      </c>
      <c r="E93" s="1666" t="s">
        <v>7346</v>
      </c>
      <c r="F93" s="1700">
        <v>2</v>
      </c>
      <c r="G93" s="1706">
        <v>2431</v>
      </c>
      <c r="H93" s="1706">
        <v>4862</v>
      </c>
      <c r="I93" s="1712"/>
      <c r="J93" s="1712"/>
      <c r="K93" s="1706"/>
    </row>
    <row r="94" spans="1:11">
      <c r="A94" s="1663" t="s">
        <v>7347</v>
      </c>
      <c r="B94" s="1667" t="s">
        <v>7344</v>
      </c>
      <c r="C94" s="1668" t="s">
        <v>7348</v>
      </c>
      <c r="D94" s="1669"/>
      <c r="E94" s="1670" t="s">
        <v>7349</v>
      </c>
      <c r="F94" s="1700">
        <v>4</v>
      </c>
      <c r="G94" s="1706">
        <v>2431</v>
      </c>
      <c r="H94" s="1706">
        <v>9724</v>
      </c>
      <c r="I94" s="1712"/>
      <c r="J94" s="1712"/>
      <c r="K94" s="1706">
        <v>3167.04</v>
      </c>
    </row>
    <row r="95" spans="1:11">
      <c r="A95" s="1663" t="s">
        <v>7350</v>
      </c>
      <c r="B95" s="1759" t="s">
        <v>7351</v>
      </c>
      <c r="C95" s="1751" t="s">
        <v>7352</v>
      </c>
      <c r="D95" s="1671"/>
      <c r="E95" s="1655" t="s">
        <v>7353</v>
      </c>
      <c r="F95" s="1700"/>
      <c r="G95" s="1706"/>
      <c r="H95" s="1706"/>
      <c r="I95" s="1712"/>
      <c r="J95" s="1712"/>
      <c r="K95" s="1706">
        <v>45008.08</v>
      </c>
    </row>
    <row r="96" spans="1:11" ht="38.25">
      <c r="A96" s="1672" t="s">
        <v>7354</v>
      </c>
      <c r="B96" s="1673" t="s">
        <v>7351</v>
      </c>
      <c r="C96" s="1674" t="s">
        <v>7355</v>
      </c>
      <c r="D96" s="1370" t="s">
        <v>7356</v>
      </c>
      <c r="E96" s="1675" t="s">
        <v>7357</v>
      </c>
      <c r="F96" s="1700">
        <v>2260</v>
      </c>
      <c r="G96" s="1706">
        <v>1338.18</v>
      </c>
      <c r="H96" s="1706">
        <v>3024286.8000000003</v>
      </c>
      <c r="I96" s="1712"/>
      <c r="J96" s="1712"/>
      <c r="K96" s="1706">
        <f>1053147.66+102237.52</f>
        <v>1155385.18</v>
      </c>
    </row>
    <row r="97" spans="1:11" ht="38.25">
      <c r="A97" s="1672" t="s">
        <v>7358</v>
      </c>
      <c r="B97" s="1673" t="s">
        <v>7359</v>
      </c>
      <c r="C97" s="1319" t="s">
        <v>7360</v>
      </c>
      <c r="D97" s="1370" t="s">
        <v>7356</v>
      </c>
      <c r="E97" s="1675" t="s">
        <v>7361</v>
      </c>
      <c r="F97" s="1700"/>
      <c r="G97" s="1706"/>
      <c r="H97" s="1706">
        <v>0</v>
      </c>
      <c r="I97" s="1712"/>
      <c r="J97" s="1712"/>
      <c r="K97" s="1706"/>
    </row>
    <row r="98" spans="1:11" ht="38.25">
      <c r="A98" s="1676" t="s">
        <v>7362</v>
      </c>
      <c r="B98" s="1673" t="s">
        <v>7351</v>
      </c>
      <c r="C98" s="1319" t="s">
        <v>7363</v>
      </c>
      <c r="D98" s="1370" t="s">
        <v>7356</v>
      </c>
      <c r="E98" s="1675" t="s">
        <v>7357</v>
      </c>
      <c r="F98" s="1700"/>
      <c r="G98" s="1706"/>
      <c r="H98" s="1706">
        <v>0</v>
      </c>
      <c r="I98" s="1712"/>
      <c r="J98" s="1712"/>
      <c r="K98" s="1706"/>
    </row>
    <row r="99" spans="1:11" ht="38.25">
      <c r="A99" s="1672" t="s">
        <v>7364</v>
      </c>
      <c r="B99" s="1673" t="s">
        <v>7351</v>
      </c>
      <c r="C99" s="1319" t="s">
        <v>7365</v>
      </c>
      <c r="D99" s="1370" t="s">
        <v>7356</v>
      </c>
      <c r="E99" s="1675" t="s">
        <v>7366</v>
      </c>
      <c r="F99" s="1700">
        <v>2180</v>
      </c>
      <c r="G99" s="1706">
        <v>1337.67</v>
      </c>
      <c r="H99" s="1706">
        <v>2916112.69</v>
      </c>
      <c r="I99" s="1712"/>
      <c r="J99" s="1712"/>
      <c r="K99" s="1706">
        <f>1204498.32-37531</f>
        <v>1166967.32</v>
      </c>
    </row>
    <row r="100" spans="1:11" ht="38.25">
      <c r="A100" s="1320" t="s">
        <v>7367</v>
      </c>
      <c r="B100" s="1673" t="s">
        <v>7368</v>
      </c>
      <c r="C100" s="1677" t="s">
        <v>7369</v>
      </c>
      <c r="D100" s="1370" t="s">
        <v>7356</v>
      </c>
      <c r="E100" s="1575" t="s">
        <v>7370</v>
      </c>
      <c r="F100" s="1700">
        <v>55</v>
      </c>
      <c r="G100" s="1706">
        <v>9781.2000000000007</v>
      </c>
      <c r="H100" s="1706">
        <v>537966</v>
      </c>
      <c r="I100" s="1712"/>
      <c r="J100" s="1712"/>
      <c r="K100" s="1706">
        <f>176121+108349.45</f>
        <v>284470.45</v>
      </c>
    </row>
    <row r="101" spans="1:11" ht="38.25">
      <c r="A101" s="1678" t="s">
        <v>7371</v>
      </c>
      <c r="B101" s="1679" t="s">
        <v>7368</v>
      </c>
      <c r="C101" s="1680" t="s">
        <v>7369</v>
      </c>
      <c r="D101" s="1208" t="s">
        <v>7356</v>
      </c>
      <c r="E101" s="1575" t="s">
        <v>7372</v>
      </c>
      <c r="F101" s="1700">
        <v>32</v>
      </c>
      <c r="G101" s="1706">
        <v>14672</v>
      </c>
      <c r="H101" s="1706">
        <v>469504</v>
      </c>
      <c r="I101" s="1712"/>
      <c r="J101" s="1712"/>
      <c r="K101" s="1706">
        <f>58707.44+14774.93</f>
        <v>73482.37</v>
      </c>
    </row>
    <row r="102" spans="1:11" ht="25.5">
      <c r="A102" s="1681" t="s">
        <v>7373</v>
      </c>
      <c r="B102" s="1776" t="s">
        <v>7359</v>
      </c>
      <c r="C102" s="1776" t="s">
        <v>7360</v>
      </c>
      <c r="D102" s="1777" t="s">
        <v>7211</v>
      </c>
      <c r="E102" s="1682" t="s">
        <v>7374</v>
      </c>
      <c r="F102" s="1700">
        <v>540</v>
      </c>
      <c r="G102" s="1706">
        <v>2617.58</v>
      </c>
      <c r="H102" s="1706">
        <v>1413493.2</v>
      </c>
      <c r="I102" s="1712"/>
      <c r="J102" s="1712"/>
      <c r="K102" s="1706">
        <f>1564675.2-100000</f>
        <v>1464675.2</v>
      </c>
    </row>
    <row r="103" spans="1:11" ht="25.5">
      <c r="A103" s="1681" t="s">
        <v>7375</v>
      </c>
      <c r="B103" s="1778" t="s">
        <v>7359</v>
      </c>
      <c r="C103" s="1778" t="s">
        <v>7360</v>
      </c>
      <c r="D103" s="1779" t="s">
        <v>7211</v>
      </c>
      <c r="E103" s="1684" t="s">
        <v>7376</v>
      </c>
      <c r="F103" s="1700">
        <v>483</v>
      </c>
      <c r="G103" s="1706">
        <v>3926.37</v>
      </c>
      <c r="H103" s="1706">
        <v>1896436.71</v>
      </c>
      <c r="I103" s="1712"/>
      <c r="J103" s="1712"/>
      <c r="K103" s="1706">
        <f>1240182.9-35000</f>
        <v>1205182.8999999999</v>
      </c>
    </row>
    <row r="104" spans="1:11" ht="38.25">
      <c r="A104" s="1685" t="s">
        <v>7377</v>
      </c>
      <c r="B104" s="1780" t="s">
        <v>7344</v>
      </c>
      <c r="C104" s="1778" t="s">
        <v>7378</v>
      </c>
      <c r="D104" s="1779" t="s">
        <v>7131</v>
      </c>
      <c r="E104" s="1683" t="s">
        <v>7379</v>
      </c>
      <c r="F104" s="1700"/>
      <c r="G104" s="1706"/>
      <c r="H104" s="1706">
        <v>0</v>
      </c>
      <c r="I104" s="1712"/>
      <c r="J104" s="1712"/>
      <c r="K104" s="1706"/>
    </row>
    <row r="105" spans="1:11" ht="38.25">
      <c r="A105" s="1663" t="s">
        <v>7358</v>
      </c>
      <c r="B105" s="1759" t="s">
        <v>7359</v>
      </c>
      <c r="C105" s="1751" t="s">
        <v>7360</v>
      </c>
      <c r="D105" s="1760" t="s">
        <v>7380</v>
      </c>
      <c r="E105" s="1649" t="s">
        <v>7381</v>
      </c>
      <c r="F105" s="1700">
        <v>70</v>
      </c>
      <c r="G105" s="1706">
        <v>1308.78</v>
      </c>
      <c r="H105" s="1706">
        <v>91614.599999999991</v>
      </c>
      <c r="I105" s="1712"/>
      <c r="J105" s="1712"/>
      <c r="K105" s="1706">
        <f>22249.26+37042.5</f>
        <v>59291.759999999995</v>
      </c>
    </row>
    <row r="106" spans="1:11">
      <c r="A106" s="84"/>
      <c r="B106" s="84"/>
      <c r="C106" s="84"/>
      <c r="D106" s="84"/>
      <c r="E106" s="90"/>
      <c r="F106" s="1713"/>
      <c r="G106" s="1700"/>
      <c r="H106" s="1700"/>
      <c r="I106" s="1714"/>
      <c r="J106" s="1715"/>
      <c r="K106" s="1716"/>
    </row>
    <row r="107" spans="1:11">
      <c r="A107" s="84"/>
      <c r="B107" s="84"/>
      <c r="C107" s="84"/>
      <c r="D107" s="84"/>
      <c r="E107" s="90"/>
      <c r="F107" s="1700"/>
      <c r="G107" s="1700"/>
      <c r="H107" s="1700"/>
      <c r="I107" s="1703"/>
      <c r="J107" s="1704"/>
      <c r="K107" s="1716"/>
    </row>
    <row r="108" spans="1:11">
      <c r="A108" s="84"/>
      <c r="B108" s="84"/>
      <c r="C108" s="84"/>
      <c r="D108" s="84"/>
      <c r="E108" s="90"/>
      <c r="F108" s="1700"/>
      <c r="G108" s="1700"/>
      <c r="H108" s="1700"/>
      <c r="I108" s="1703"/>
      <c r="J108" s="1704"/>
      <c r="K108" s="1716"/>
    </row>
    <row r="109" spans="1:11">
      <c r="A109" s="84"/>
      <c r="B109" s="84"/>
      <c r="C109" s="84"/>
      <c r="D109" s="84"/>
      <c r="E109" s="90"/>
      <c r="F109" s="1700"/>
      <c r="G109" s="1700"/>
      <c r="H109" s="1700"/>
      <c r="I109" s="1703"/>
      <c r="J109" s="1704"/>
      <c r="K109" s="1716"/>
    </row>
    <row r="110" spans="1:11">
      <c r="A110" s="84"/>
      <c r="B110" s="84"/>
      <c r="C110" s="84"/>
      <c r="D110" s="84"/>
      <c r="E110" s="90"/>
      <c r="F110" s="1700"/>
      <c r="G110" s="1700"/>
      <c r="H110" s="1700"/>
      <c r="I110" s="1703"/>
      <c r="J110" s="1704"/>
      <c r="K110" s="1716"/>
    </row>
    <row r="111" spans="1:11">
      <c r="A111" s="102"/>
      <c r="B111" s="103"/>
      <c r="C111" s="103"/>
      <c r="D111" s="103"/>
      <c r="E111" s="103"/>
      <c r="F111" s="1618"/>
      <c r="G111" s="1618"/>
      <c r="H111" s="1618"/>
      <c r="I111" s="1717"/>
      <c r="J111" s="1370"/>
      <c r="K111" s="1707"/>
    </row>
    <row r="112" spans="1:11">
      <c r="A112" s="102"/>
      <c r="B112" s="103"/>
      <c r="C112" s="103"/>
      <c r="D112" s="103"/>
      <c r="E112" s="103"/>
      <c r="F112" s="1618"/>
      <c r="G112" s="1618"/>
      <c r="H112" s="1618"/>
      <c r="I112" s="1618"/>
      <c r="J112" s="1370"/>
      <c r="K112" s="1618"/>
    </row>
    <row r="113" spans="1:11" ht="13.5" thickBot="1">
      <c r="A113" s="102"/>
      <c r="B113" s="103"/>
      <c r="C113" s="103"/>
      <c r="D113" s="103"/>
      <c r="E113" s="103"/>
      <c r="F113" s="1618"/>
      <c r="G113" s="1618"/>
      <c r="H113" s="1708"/>
      <c r="I113" s="1618"/>
      <c r="J113" s="1370"/>
      <c r="K113" s="1708"/>
    </row>
    <row r="114" spans="1:11" ht="15">
      <c r="A114" s="1641" t="s">
        <v>83</v>
      </c>
      <c r="B114" s="90"/>
      <c r="C114" s="90"/>
      <c r="D114" s="90"/>
      <c r="E114" s="90"/>
      <c r="F114" s="1706"/>
      <c r="G114" s="1718"/>
      <c r="H114" s="1719">
        <v>11603000</v>
      </c>
      <c r="I114" s="1710"/>
      <c r="J114" s="1711"/>
      <c r="K114" s="1702">
        <f>+K115+K116+K117+K118+K119</f>
        <v>3833500</v>
      </c>
    </row>
    <row r="115" spans="1:11">
      <c r="A115" s="1686" t="s">
        <v>7382</v>
      </c>
      <c r="B115" s="1687" t="s">
        <v>7383</v>
      </c>
      <c r="C115" s="1688" t="s">
        <v>7384</v>
      </c>
      <c r="D115" s="1689" t="s">
        <v>7385</v>
      </c>
      <c r="E115" s="1690" t="s">
        <v>7386</v>
      </c>
      <c r="F115" s="1706"/>
      <c r="G115" s="1706"/>
      <c r="H115" s="1706"/>
      <c r="I115" s="1712"/>
      <c r="J115" s="1712"/>
      <c r="K115" s="1706">
        <v>467500</v>
      </c>
    </row>
    <row r="116" spans="1:11" ht="51">
      <c r="A116" s="1686" t="s">
        <v>7387</v>
      </c>
      <c r="B116" s="1769" t="s">
        <v>7388</v>
      </c>
      <c r="C116" s="1586" t="s">
        <v>7389</v>
      </c>
      <c r="D116" s="1691" t="s">
        <v>7390</v>
      </c>
      <c r="E116" s="1690" t="s">
        <v>7391</v>
      </c>
      <c r="F116" s="1720"/>
      <c r="G116" s="1706"/>
      <c r="H116" s="1721"/>
      <c r="I116" s="1712"/>
      <c r="J116" s="1712"/>
      <c r="K116" s="1706">
        <v>888250</v>
      </c>
    </row>
    <row r="117" spans="1:11">
      <c r="A117" s="1692" t="s">
        <v>7392</v>
      </c>
      <c r="B117" s="1673" t="s">
        <v>7383</v>
      </c>
      <c r="C117" s="1693" t="s">
        <v>7393</v>
      </c>
      <c r="D117" s="1689" t="s">
        <v>7171</v>
      </c>
      <c r="E117" s="1690" t="s">
        <v>7386</v>
      </c>
      <c r="F117" s="1722">
        <v>200000</v>
      </c>
      <c r="G117" s="1723">
        <v>46.77</v>
      </c>
      <c r="H117" s="1724">
        <f>+F117*G117+4040</f>
        <v>9358040</v>
      </c>
      <c r="I117" s="1712"/>
      <c r="J117" s="1712"/>
      <c r="K117" s="1706">
        <v>467500</v>
      </c>
    </row>
    <row r="118" spans="1:11" ht="25.5">
      <c r="A118" s="1647" t="s">
        <v>7394</v>
      </c>
      <c r="B118" s="1766" t="s">
        <v>7383</v>
      </c>
      <c r="C118" s="1781" t="s">
        <v>7395</v>
      </c>
      <c r="D118" s="1782" t="s">
        <v>7330</v>
      </c>
      <c r="E118" s="1694" t="s">
        <v>7396</v>
      </c>
      <c r="F118" s="1725">
        <v>48000</v>
      </c>
      <c r="G118" s="1723">
        <v>46.77</v>
      </c>
      <c r="H118" s="1724">
        <f>+F118*G118</f>
        <v>2244960</v>
      </c>
      <c r="I118" s="1712"/>
      <c r="J118" s="1712"/>
      <c r="K118" s="1706">
        <v>2010250</v>
      </c>
    </row>
    <row r="119" spans="1:11" ht="51">
      <c r="A119" s="1695" t="s">
        <v>7397</v>
      </c>
      <c r="B119" s="1766" t="s">
        <v>7398</v>
      </c>
      <c r="C119" s="1696" t="s">
        <v>7399</v>
      </c>
      <c r="D119" s="1697" t="s">
        <v>7400</v>
      </c>
      <c r="E119" s="1698" t="s">
        <v>7401</v>
      </c>
      <c r="F119" s="1706"/>
      <c r="G119" s="1706"/>
      <c r="H119" s="1706"/>
      <c r="I119" s="1712"/>
      <c r="J119" s="1712"/>
      <c r="K119" s="1706"/>
    </row>
    <row r="120" spans="1:11">
      <c r="A120" s="90"/>
      <c r="B120" s="90"/>
      <c r="C120" s="90"/>
      <c r="D120" s="90"/>
      <c r="E120" s="90"/>
      <c r="F120" s="1700"/>
      <c r="G120" s="1700"/>
      <c r="H120" s="1700"/>
      <c r="I120" s="1712"/>
      <c r="J120" s="1712"/>
      <c r="K120" s="1700"/>
    </row>
    <row r="121" spans="1:11">
      <c r="A121" s="90"/>
      <c r="B121" s="90"/>
      <c r="C121" s="90"/>
      <c r="D121" s="90"/>
      <c r="E121" s="90"/>
      <c r="F121" s="1700"/>
      <c r="G121" s="1700"/>
      <c r="H121" s="1700"/>
      <c r="I121" s="1712"/>
      <c r="J121" s="1712"/>
      <c r="K121" s="1700"/>
    </row>
    <row r="122" spans="1:11">
      <c r="A122" s="90"/>
      <c r="B122" s="90"/>
      <c r="C122" s="90"/>
      <c r="D122" s="90"/>
      <c r="E122" s="90"/>
      <c r="F122" s="1700"/>
      <c r="G122" s="1700"/>
      <c r="H122" s="1700"/>
      <c r="I122" s="1712"/>
      <c r="J122" s="1712"/>
      <c r="K122" s="1700"/>
    </row>
    <row r="123" spans="1:11">
      <c r="A123" s="90"/>
      <c r="B123" s="90"/>
      <c r="C123" s="90"/>
      <c r="D123" s="90"/>
      <c r="E123" s="90"/>
      <c r="F123" s="1700"/>
      <c r="G123" s="1700"/>
      <c r="H123" s="1700"/>
      <c r="I123" s="1712"/>
      <c r="J123" s="1712"/>
      <c r="K123" s="1700"/>
    </row>
    <row r="124" spans="1:11">
      <c r="A124" s="90"/>
      <c r="B124" s="90"/>
      <c r="C124" s="90"/>
      <c r="D124" s="90"/>
      <c r="E124" s="90"/>
      <c r="F124" s="1700"/>
      <c r="G124" s="1700"/>
      <c r="H124" s="1700"/>
      <c r="I124" s="1712"/>
      <c r="J124" s="1712"/>
      <c r="K124" s="1700"/>
    </row>
    <row r="125" spans="1:11">
      <c r="A125" s="90"/>
      <c r="B125" s="90"/>
      <c r="C125" s="90"/>
      <c r="D125" s="90"/>
      <c r="E125" s="90"/>
      <c r="F125" s="1700"/>
      <c r="G125" s="1700"/>
      <c r="H125" s="1700"/>
      <c r="I125" s="1712"/>
      <c r="J125" s="1712"/>
      <c r="K125" s="1700"/>
    </row>
    <row r="126" spans="1:11">
      <c r="A126" s="90"/>
      <c r="B126" s="90"/>
      <c r="C126" s="90"/>
      <c r="D126" s="90"/>
      <c r="E126" s="90"/>
      <c r="F126" s="1700"/>
      <c r="G126" s="1700"/>
      <c r="H126" s="1700"/>
      <c r="I126" s="1712"/>
      <c r="J126" s="1712"/>
      <c r="K126" s="1700"/>
    </row>
    <row r="127" spans="1:11">
      <c r="A127" s="102"/>
      <c r="B127" s="103"/>
      <c r="C127" s="103"/>
      <c r="D127" s="103"/>
      <c r="E127" s="103"/>
      <c r="F127" s="1618"/>
      <c r="G127" s="1707"/>
      <c r="H127" s="1707"/>
      <c r="I127" s="1707"/>
      <c r="J127" s="1726"/>
      <c r="K127" s="1707"/>
    </row>
    <row r="128" spans="1:11" ht="13.5" thickBot="1">
      <c r="A128" s="102"/>
      <c r="B128" s="103"/>
      <c r="C128" s="103"/>
      <c r="D128" s="103"/>
      <c r="E128" s="103"/>
      <c r="F128" s="1618"/>
      <c r="G128" s="1618"/>
      <c r="H128" s="1708"/>
      <c r="I128" s="1618"/>
      <c r="J128" s="1370"/>
      <c r="K128" s="1708"/>
    </row>
    <row r="129" spans="1:11" ht="15.75" thickBot="1">
      <c r="A129" s="1641" t="s">
        <v>84</v>
      </c>
      <c r="B129" s="90"/>
      <c r="C129" s="90"/>
      <c r="D129" s="90"/>
      <c r="E129" s="90"/>
      <c r="F129" s="1700"/>
      <c r="G129" s="1727"/>
      <c r="H129" s="1728">
        <v>119594999.97000001</v>
      </c>
      <c r="I129" s="1703"/>
      <c r="J129" s="1704"/>
      <c r="K129" s="1728">
        <v>71599726</v>
      </c>
    </row>
    <row r="130" spans="1:11">
      <c r="A130" s="90" t="s">
        <v>68</v>
      </c>
      <c r="B130" s="103" t="s">
        <v>115</v>
      </c>
      <c r="C130" s="101"/>
      <c r="D130" s="101"/>
      <c r="E130" s="101"/>
      <c r="F130" s="1729"/>
      <c r="G130" s="1730"/>
      <c r="H130" s="1731">
        <v>6160144.9199999999</v>
      </c>
      <c r="I130" s="1732"/>
      <c r="J130" s="1733"/>
      <c r="K130" s="1731">
        <v>3916911</v>
      </c>
    </row>
    <row r="131" spans="1:11">
      <c r="A131" s="90" t="s">
        <v>69</v>
      </c>
      <c r="B131" s="103" t="s">
        <v>326</v>
      </c>
      <c r="C131" s="101"/>
      <c r="D131" s="101"/>
      <c r="E131" s="101"/>
      <c r="F131" s="1729"/>
      <c r="G131" s="1730"/>
      <c r="H131" s="1623">
        <v>41445391.210000001</v>
      </c>
      <c r="I131" s="1732"/>
      <c r="J131" s="1733"/>
      <c r="K131" s="1623">
        <v>27680466</v>
      </c>
    </row>
    <row r="132" spans="1:11">
      <c r="A132" s="90" t="s">
        <v>70</v>
      </c>
      <c r="B132" s="103" t="s">
        <v>117</v>
      </c>
      <c r="C132" s="101"/>
      <c r="D132" s="101"/>
      <c r="E132" s="101"/>
      <c r="F132" s="1729"/>
      <c r="G132" s="1730"/>
      <c r="H132" s="1623">
        <v>1838668.64</v>
      </c>
      <c r="I132" s="1732"/>
      <c r="J132" s="1733"/>
      <c r="K132" s="1623">
        <v>1251752</v>
      </c>
    </row>
    <row r="133" spans="1:11">
      <c r="A133" s="90" t="s">
        <v>71</v>
      </c>
      <c r="B133" s="103" t="s">
        <v>118</v>
      </c>
      <c r="C133" s="101"/>
      <c r="D133" s="101"/>
      <c r="E133" s="101"/>
      <c r="F133" s="1729"/>
      <c r="G133" s="1730"/>
      <c r="H133" s="1623">
        <v>1004861.56</v>
      </c>
      <c r="I133" s="1732"/>
      <c r="J133" s="1733"/>
      <c r="K133" s="1623">
        <v>445479</v>
      </c>
    </row>
    <row r="134" spans="1:11">
      <c r="A134" s="90" t="s">
        <v>72</v>
      </c>
      <c r="B134" s="103" t="s">
        <v>116</v>
      </c>
      <c r="C134" s="101"/>
      <c r="D134" s="101"/>
      <c r="E134" s="101"/>
      <c r="F134" s="1729"/>
      <c r="G134" s="1730"/>
      <c r="H134" s="1623">
        <v>749652.87</v>
      </c>
      <c r="I134" s="1732"/>
      <c r="J134" s="1733"/>
      <c r="K134" s="1623">
        <v>319371</v>
      </c>
    </row>
    <row r="135" spans="1:11">
      <c r="A135" s="90" t="s">
        <v>73</v>
      </c>
      <c r="B135" s="103" t="s">
        <v>88</v>
      </c>
      <c r="C135" s="101"/>
      <c r="D135" s="101"/>
      <c r="E135" s="101"/>
      <c r="F135" s="1729"/>
      <c r="G135" s="1730"/>
      <c r="H135" s="1623">
        <v>4293110.32</v>
      </c>
      <c r="I135" s="1732"/>
      <c r="J135" s="1733"/>
      <c r="K135" s="1623">
        <v>2398080</v>
      </c>
    </row>
    <row r="136" spans="1:11">
      <c r="A136" s="90" t="s">
        <v>74</v>
      </c>
      <c r="B136" s="103" t="s">
        <v>85</v>
      </c>
      <c r="C136" s="101"/>
      <c r="D136" s="101"/>
      <c r="E136" s="101"/>
      <c r="F136" s="1729"/>
      <c r="G136" s="1730"/>
      <c r="H136" s="1623">
        <v>28457213.379999999</v>
      </c>
      <c r="I136" s="1732"/>
      <c r="J136" s="1733"/>
      <c r="K136" s="1623">
        <v>17603870</v>
      </c>
    </row>
    <row r="137" spans="1:11">
      <c r="A137" s="90" t="s">
        <v>75</v>
      </c>
      <c r="B137" s="103" t="s">
        <v>86</v>
      </c>
      <c r="C137" s="101"/>
      <c r="D137" s="101"/>
      <c r="E137" s="101"/>
      <c r="F137" s="1729"/>
      <c r="G137" s="1730"/>
      <c r="H137" s="1623">
        <v>1194587.2</v>
      </c>
      <c r="I137" s="1732"/>
      <c r="J137" s="1733"/>
      <c r="K137" s="1623">
        <v>617562</v>
      </c>
    </row>
    <row r="138" spans="1:11">
      <c r="A138" s="90" t="s">
        <v>76</v>
      </c>
      <c r="B138" s="103" t="s">
        <v>119</v>
      </c>
      <c r="C138" s="101"/>
      <c r="D138" s="101"/>
      <c r="E138" s="101"/>
      <c r="F138" s="1729"/>
      <c r="G138" s="1730"/>
      <c r="H138" s="1623">
        <v>2040457.23</v>
      </c>
      <c r="I138" s="1732"/>
      <c r="J138" s="1733"/>
      <c r="K138" s="1623">
        <v>1057973</v>
      </c>
    </row>
    <row r="139" spans="1:11">
      <c r="A139" s="90" t="s">
        <v>77</v>
      </c>
      <c r="B139" s="103" t="s">
        <v>114</v>
      </c>
      <c r="C139" s="101"/>
      <c r="D139" s="101"/>
      <c r="E139" s="101"/>
      <c r="F139" s="1729"/>
      <c r="G139" s="1730"/>
      <c r="H139" s="1623">
        <v>23352522.25</v>
      </c>
      <c r="I139" s="1732"/>
      <c r="J139" s="1733"/>
      <c r="K139" s="1623">
        <v>11961152</v>
      </c>
    </row>
    <row r="140" spans="1:11">
      <c r="A140" s="90" t="s">
        <v>78</v>
      </c>
      <c r="B140" s="103" t="s">
        <v>89</v>
      </c>
      <c r="C140" s="101"/>
      <c r="D140" s="101"/>
      <c r="E140" s="101"/>
      <c r="F140" s="1729"/>
      <c r="G140" s="1730"/>
      <c r="H140" s="1623">
        <v>49859.55</v>
      </c>
      <c r="I140" s="1732"/>
      <c r="J140" s="1732"/>
      <c r="K140" s="1623">
        <v>16030</v>
      </c>
    </row>
    <row r="141" spans="1:11">
      <c r="A141" s="90" t="s">
        <v>79</v>
      </c>
      <c r="B141" s="103" t="s">
        <v>120</v>
      </c>
      <c r="C141" s="101"/>
      <c r="D141" s="101"/>
      <c r="E141" s="101"/>
      <c r="F141" s="1729"/>
      <c r="G141" s="1730"/>
      <c r="H141" s="1623">
        <v>669724.87</v>
      </c>
      <c r="I141" s="1732"/>
      <c r="J141" s="1732"/>
      <c r="K141" s="1623">
        <v>386760</v>
      </c>
    </row>
    <row r="142" spans="1:11">
      <c r="A142" s="90" t="s">
        <v>80</v>
      </c>
      <c r="B142" s="103" t="s">
        <v>121</v>
      </c>
      <c r="C142" s="101"/>
      <c r="D142" s="101"/>
      <c r="E142" s="101"/>
      <c r="F142" s="1729"/>
      <c r="G142" s="1730"/>
      <c r="H142" s="1623">
        <v>119299.3</v>
      </c>
      <c r="I142" s="1732"/>
      <c r="J142" s="1732"/>
      <c r="K142" s="1623">
        <v>63997</v>
      </c>
    </row>
    <row r="143" spans="1:11" ht="13.5" thickBot="1">
      <c r="A143" s="90" t="s">
        <v>81</v>
      </c>
      <c r="B143" s="103" t="s">
        <v>87</v>
      </c>
      <c r="C143" s="101"/>
      <c r="D143" s="101"/>
      <c r="E143" s="101"/>
      <c r="F143" s="1729"/>
      <c r="G143" s="1730"/>
      <c r="H143" s="1734">
        <v>8219506.6699999999</v>
      </c>
      <c r="I143" s="1732"/>
      <c r="J143" s="1732"/>
      <c r="K143" s="1734">
        <f>3723115+157208</f>
        <v>3880323</v>
      </c>
    </row>
    <row r="144" spans="1:11" ht="15" thickBot="1">
      <c r="A144" s="147" t="s">
        <v>90</v>
      </c>
      <c r="B144" s="148"/>
      <c r="C144" s="148"/>
      <c r="D144" s="148"/>
      <c r="E144" s="148"/>
      <c r="F144" s="1735"/>
      <c r="G144" s="1736"/>
      <c r="H144" s="1792">
        <v>157559000</v>
      </c>
      <c r="I144" s="1737"/>
      <c r="J144" s="1738"/>
      <c r="K144" s="1739">
        <v>92437524</v>
      </c>
    </row>
    <row r="145" spans="1:11">
      <c r="A145" s="10"/>
      <c r="B145" s="10"/>
      <c r="C145" s="10"/>
      <c r="D145" s="10"/>
      <c r="E145" s="10"/>
      <c r="F145" s="1740"/>
      <c r="G145" s="1740"/>
      <c r="H145" s="1740"/>
      <c r="I145" s="1740"/>
      <c r="J145" s="1740"/>
      <c r="K145" s="1741"/>
    </row>
    <row r="146" spans="1:11" ht="15.75">
      <c r="A146" s="13"/>
      <c r="B146" s="6"/>
      <c r="C146" s="6"/>
      <c r="D146" s="6"/>
      <c r="E146" s="6"/>
      <c r="F146" s="1742"/>
      <c r="G146" s="1742"/>
      <c r="H146" s="1742"/>
      <c r="I146" s="1742"/>
      <c r="J146" s="1742"/>
      <c r="K146" s="1743"/>
    </row>
  </sheetData>
  <mergeCells count="12">
    <mergeCell ref="A87:E87"/>
    <mergeCell ref="C2:K2"/>
    <mergeCell ref="C1:K1"/>
    <mergeCell ref="C3:K3"/>
    <mergeCell ref="C4:K4"/>
    <mergeCell ref="E6:E7"/>
    <mergeCell ref="I6:K6"/>
    <mergeCell ref="F6:H6"/>
    <mergeCell ref="A6:A7"/>
    <mergeCell ref="B6:B7"/>
    <mergeCell ref="C6:C7"/>
    <mergeCell ref="D6:D7"/>
  </mergeCells>
  <phoneticPr fontId="10" type="noConversion"/>
  <pageMargins left="0.23622047244094499" right="0.23622047244094499" top="0.74803149606299202" bottom="0.74803149606299202" header="0.31496062992126" footer="0.31496062992126"/>
  <pageSetup paperSize="9" scale="80" fitToHeight="0" orientation="landscape" horizontalDpi="1200" verticalDpi="1200" r:id="rId1"/>
  <headerFooter alignWithMargins="0">
    <oddFooter>&amp;R &amp;P</oddFooter>
  </headerFooter>
  <rowBreaks count="1" manualBreakCount="1">
    <brk id="11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40"/>
  <sheetViews>
    <sheetView view="pageBreakPreview" topLeftCell="A7" zoomScaleSheetLayoutView="100" workbookViewId="0">
      <selection activeCell="C1" sqref="C1:AF3"/>
    </sheetView>
  </sheetViews>
  <sheetFormatPr defaultRowHeight="15.75"/>
  <cols>
    <col min="1" max="1" width="21.42578125" style="14" customWidth="1"/>
    <col min="2" max="2" width="5.42578125" style="14" customWidth="1"/>
    <col min="3" max="3" width="6.5703125" style="14" customWidth="1"/>
    <col min="4" max="4" width="7.42578125" style="14" customWidth="1"/>
    <col min="5" max="8" width="4" style="14" customWidth="1"/>
    <col min="9" max="9" width="4" style="23" customWidth="1"/>
    <col min="10" max="11" width="4" style="14" customWidth="1"/>
    <col min="12" max="14" width="4" style="1550" customWidth="1"/>
    <col min="15" max="15" width="4" style="1551" customWidth="1"/>
    <col min="16" max="17" width="4" style="14" customWidth="1"/>
    <col min="18" max="19" width="4" style="1550" customWidth="1"/>
    <col min="20" max="20" width="4" style="1551" customWidth="1"/>
    <col min="21" max="22" width="4" style="23" customWidth="1"/>
    <col min="23" max="23" width="4" style="1552" customWidth="1"/>
    <col min="24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05"/>
      <c r="B1" s="106" t="s">
        <v>208</v>
      </c>
      <c r="C1" s="1827" t="s">
        <v>1847</v>
      </c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1828"/>
      <c r="R1" s="1828"/>
      <c r="S1" s="1828"/>
      <c r="T1" s="1828"/>
      <c r="U1" s="1828"/>
      <c r="V1" s="1828"/>
      <c r="W1" s="1828"/>
      <c r="X1" s="1828"/>
      <c r="Y1" s="1828"/>
      <c r="Z1" s="1828"/>
      <c r="AA1" s="1828"/>
      <c r="AB1" s="1828"/>
      <c r="AC1" s="1828"/>
      <c r="AD1" s="1828"/>
      <c r="AE1" s="1828"/>
      <c r="AF1" s="1828"/>
    </row>
    <row r="2" spans="1:32" ht="15.75" customHeight="1">
      <c r="A2" s="105"/>
      <c r="B2" s="106" t="s">
        <v>209</v>
      </c>
      <c r="C2" s="1827">
        <v>17878735</v>
      </c>
      <c r="D2" s="1828"/>
      <c r="E2" s="1828"/>
      <c r="F2" s="1828"/>
      <c r="G2" s="1828"/>
      <c r="H2" s="1828"/>
      <c r="I2" s="1828"/>
      <c r="J2" s="1828"/>
      <c r="K2" s="1828"/>
      <c r="L2" s="1828"/>
      <c r="M2" s="1828"/>
      <c r="N2" s="1828"/>
      <c r="O2" s="1828"/>
      <c r="P2" s="1828"/>
      <c r="Q2" s="1828"/>
      <c r="R2" s="1828"/>
      <c r="S2" s="1828"/>
      <c r="T2" s="1828"/>
      <c r="U2" s="1828"/>
      <c r="V2" s="1828"/>
      <c r="W2" s="1828"/>
      <c r="X2" s="1828"/>
      <c r="Y2" s="1828"/>
      <c r="Z2" s="1828"/>
      <c r="AA2" s="1828"/>
      <c r="AB2" s="1828"/>
      <c r="AC2" s="1828"/>
      <c r="AD2" s="1828"/>
      <c r="AE2" s="1828"/>
    </row>
    <row r="3" spans="1:32">
      <c r="A3" s="105"/>
      <c r="B3" s="106" t="s">
        <v>211</v>
      </c>
      <c r="C3" s="1827" t="s">
        <v>1812</v>
      </c>
      <c r="D3" s="1828"/>
      <c r="E3" s="1828"/>
      <c r="F3" s="1828"/>
      <c r="G3" s="1828"/>
      <c r="H3" s="1828"/>
      <c r="I3" s="1828"/>
      <c r="J3" s="1828"/>
      <c r="K3" s="1828"/>
      <c r="L3" s="1828"/>
      <c r="M3" s="1828"/>
      <c r="N3" s="1828"/>
      <c r="O3" s="1828"/>
      <c r="P3" s="1828"/>
      <c r="Q3" s="1828"/>
      <c r="R3" s="1828"/>
      <c r="S3" s="1828"/>
      <c r="T3" s="1828"/>
      <c r="U3" s="1828"/>
      <c r="V3" s="1828"/>
      <c r="W3" s="1828"/>
      <c r="X3" s="1828"/>
      <c r="Y3" s="1828"/>
      <c r="Z3" s="1828"/>
      <c r="AA3" s="1828"/>
      <c r="AB3" s="1828"/>
      <c r="AC3" s="1828"/>
      <c r="AD3" s="1828"/>
      <c r="AE3" s="1828"/>
      <c r="AF3" s="1828"/>
    </row>
    <row r="4" spans="1:32">
      <c r="A4" s="105"/>
      <c r="B4" s="106" t="s">
        <v>210</v>
      </c>
      <c r="C4" s="1830" t="s">
        <v>335</v>
      </c>
      <c r="D4" s="1831"/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  <c r="S4" s="1831"/>
      <c r="T4" s="1831"/>
      <c r="U4" s="1831"/>
      <c r="V4" s="1831"/>
      <c r="W4" s="1831"/>
      <c r="X4" s="1831"/>
      <c r="Y4" s="1831"/>
      <c r="Z4" s="1831"/>
      <c r="AA4" s="1831"/>
      <c r="AB4" s="1831"/>
      <c r="AC4" s="1831"/>
      <c r="AD4" s="1831"/>
      <c r="AE4" s="1831"/>
      <c r="AF4" s="1831"/>
    </row>
    <row r="5" spans="1:32" ht="12.75" customHeight="1">
      <c r="A5" s="1829"/>
      <c r="B5" s="1829"/>
      <c r="C5" s="1829"/>
      <c r="D5" s="1829"/>
      <c r="E5" s="1829"/>
      <c r="F5" s="1829"/>
      <c r="G5" s="1829"/>
      <c r="H5" s="1829"/>
      <c r="I5" s="1829"/>
      <c r="J5" s="1829"/>
      <c r="K5" s="1829"/>
      <c r="L5" s="1829"/>
      <c r="M5" s="1829"/>
      <c r="N5" s="1829"/>
      <c r="O5" s="1829"/>
      <c r="P5" s="1829"/>
      <c r="Q5" s="1829"/>
      <c r="R5" s="1829"/>
      <c r="S5" s="1829"/>
      <c r="T5" s="1829"/>
      <c r="U5" s="1829"/>
      <c r="V5" s="1829"/>
      <c r="W5" s="1829"/>
      <c r="X5" s="1829"/>
      <c r="Y5" s="1829"/>
      <c r="Z5" s="1829"/>
      <c r="AA5" s="1829"/>
      <c r="AB5" s="1829"/>
      <c r="AC5" s="1829"/>
      <c r="AD5" s="1829"/>
      <c r="AE5" s="1829"/>
      <c r="AF5" s="1829"/>
    </row>
    <row r="6" spans="1:32" s="42" customFormat="1" ht="34.5" customHeight="1">
      <c r="A6" s="1832" t="s">
        <v>57</v>
      </c>
      <c r="B6" s="1833" t="s">
        <v>1816</v>
      </c>
      <c r="C6" s="1833" t="s">
        <v>1817</v>
      </c>
      <c r="D6" s="1833" t="s">
        <v>1818</v>
      </c>
      <c r="E6" s="1835" t="s">
        <v>58</v>
      </c>
      <c r="F6" s="1835"/>
      <c r="G6" s="1835"/>
      <c r="H6" s="1835"/>
      <c r="I6" s="1832" t="s">
        <v>219</v>
      </c>
      <c r="J6" s="1832"/>
      <c r="K6" s="1832"/>
      <c r="L6" s="1832"/>
      <c r="M6" s="1832"/>
      <c r="N6" s="1832"/>
      <c r="O6" s="1832"/>
      <c r="P6" s="1832"/>
      <c r="Q6" s="1832"/>
      <c r="R6" s="1832"/>
      <c r="S6" s="1832"/>
      <c r="T6" s="1832"/>
      <c r="U6" s="1832"/>
      <c r="V6" s="1832"/>
      <c r="W6" s="1832"/>
      <c r="X6" s="1832"/>
      <c r="Y6" s="1832"/>
      <c r="Z6" s="1832"/>
      <c r="AA6" s="1832"/>
      <c r="AB6" s="1832"/>
      <c r="AC6" s="1832"/>
      <c r="AD6" s="1835" t="s">
        <v>216</v>
      </c>
      <c r="AE6" s="1835"/>
      <c r="AF6" s="1835"/>
    </row>
    <row r="7" spans="1:32" s="23" customFormat="1" ht="47.25" customHeight="1">
      <c r="A7" s="1832"/>
      <c r="B7" s="1833"/>
      <c r="C7" s="1833"/>
      <c r="D7" s="1833"/>
      <c r="E7" s="1833" t="s">
        <v>126</v>
      </c>
      <c r="F7" s="1833" t="s">
        <v>23</v>
      </c>
      <c r="G7" s="1833" t="s">
        <v>24</v>
      </c>
      <c r="H7" s="1836" t="s">
        <v>2</v>
      </c>
      <c r="I7" s="1833" t="s">
        <v>225</v>
      </c>
      <c r="J7" s="1833" t="s">
        <v>212</v>
      </c>
      <c r="K7" s="1833" t="s">
        <v>213</v>
      </c>
      <c r="L7" s="1834" t="s">
        <v>127</v>
      </c>
      <c r="M7" s="1834"/>
      <c r="N7" s="1834"/>
      <c r="O7" s="1834"/>
      <c r="P7" s="1834"/>
      <c r="Q7" s="1833" t="s">
        <v>128</v>
      </c>
      <c r="R7" s="1833" t="s">
        <v>214</v>
      </c>
      <c r="S7" s="1835" t="s">
        <v>129</v>
      </c>
      <c r="T7" s="1835"/>
      <c r="U7" s="1835"/>
      <c r="V7" s="1835"/>
      <c r="W7" s="1835"/>
      <c r="X7" s="1835"/>
      <c r="Y7" s="1833" t="s">
        <v>130</v>
      </c>
      <c r="Z7" s="1833" t="s">
        <v>143</v>
      </c>
      <c r="AA7" s="1833" t="s">
        <v>131</v>
      </c>
      <c r="AB7" s="1833" t="s">
        <v>59</v>
      </c>
      <c r="AC7" s="1833" t="s">
        <v>132</v>
      </c>
      <c r="AD7" s="1835"/>
      <c r="AE7" s="1835"/>
      <c r="AF7" s="1835"/>
    </row>
    <row r="8" spans="1:32" s="23" customFormat="1" ht="87" customHeight="1">
      <c r="A8" s="1832"/>
      <c r="B8" s="1833"/>
      <c r="C8" s="1833"/>
      <c r="D8" s="1833"/>
      <c r="E8" s="1833"/>
      <c r="F8" s="1833"/>
      <c r="G8" s="1833"/>
      <c r="H8" s="1836"/>
      <c r="I8" s="1833"/>
      <c r="J8" s="1833"/>
      <c r="K8" s="1833"/>
      <c r="L8" s="669" t="s">
        <v>126</v>
      </c>
      <c r="M8" s="669" t="s">
        <v>23</v>
      </c>
      <c r="N8" s="669" t="s">
        <v>24</v>
      </c>
      <c r="O8" s="669" t="s">
        <v>59</v>
      </c>
      <c r="P8" s="670" t="s">
        <v>226</v>
      </c>
      <c r="Q8" s="1833"/>
      <c r="R8" s="1833"/>
      <c r="S8" s="669" t="s">
        <v>25</v>
      </c>
      <c r="T8" s="669" t="s">
        <v>23</v>
      </c>
      <c r="U8" s="669" t="s">
        <v>133</v>
      </c>
      <c r="V8" s="670" t="s">
        <v>134</v>
      </c>
      <c r="W8" s="670" t="s">
        <v>135</v>
      </c>
      <c r="X8" s="670" t="s">
        <v>215</v>
      </c>
      <c r="Y8" s="1833"/>
      <c r="Z8" s="1833"/>
      <c r="AA8" s="1833"/>
      <c r="AB8" s="1833"/>
      <c r="AC8" s="1833"/>
      <c r="AD8" s="669" t="s">
        <v>26</v>
      </c>
      <c r="AE8" s="669" t="s">
        <v>27</v>
      </c>
      <c r="AF8" s="669" t="s">
        <v>28</v>
      </c>
    </row>
    <row r="9" spans="1:32" s="32" customFormat="1">
      <c r="A9" s="49" t="s">
        <v>6952</v>
      </c>
      <c r="B9" s="49">
        <v>562</v>
      </c>
      <c r="C9" s="49">
        <v>2383</v>
      </c>
      <c r="D9" s="49">
        <f>C9/H9/1.82</f>
        <v>43.644688644688642</v>
      </c>
      <c r="E9" s="50">
        <v>30</v>
      </c>
      <c r="F9" s="50"/>
      <c r="G9" s="51"/>
      <c r="H9" s="57">
        <f>SUM(E9:G9)</f>
        <v>30</v>
      </c>
      <c r="I9" s="53">
        <v>9</v>
      </c>
      <c r="J9" s="52"/>
      <c r="K9" s="52">
        <v>9</v>
      </c>
      <c r="L9" s="1553">
        <v>6</v>
      </c>
      <c r="M9" s="1553"/>
      <c r="N9" s="1553"/>
      <c r="O9" s="1553"/>
      <c r="P9" s="54">
        <f>SUM(L9:O9)</f>
        <v>6</v>
      </c>
      <c r="Q9" s="140">
        <f>I9-P9</f>
        <v>3</v>
      </c>
      <c r="R9" s="53">
        <v>20</v>
      </c>
      <c r="S9" s="53">
        <v>14</v>
      </c>
      <c r="T9" s="1553"/>
      <c r="U9" s="1553"/>
      <c r="V9" s="1553">
        <v>2</v>
      </c>
      <c r="W9" s="1553">
        <v>5</v>
      </c>
      <c r="X9" s="54">
        <f>SUM(S9:W9)</f>
        <v>21</v>
      </c>
      <c r="Y9" s="140">
        <f>R9-X9</f>
        <v>-1</v>
      </c>
      <c r="Z9" s="52"/>
      <c r="AA9" s="50"/>
      <c r="AB9" s="50"/>
      <c r="AC9" s="141">
        <f t="shared" ref="AC9:AC29" si="0">Z9-(AA9+AB9)</f>
        <v>0</v>
      </c>
      <c r="AD9" s="52"/>
      <c r="AE9" s="52"/>
      <c r="AF9" s="52"/>
    </row>
    <row r="10" spans="1:32" s="32" customFormat="1" ht="24">
      <c r="A10" s="49" t="s">
        <v>1951</v>
      </c>
      <c r="B10" s="49">
        <v>415</v>
      </c>
      <c r="C10" s="49">
        <v>4837</v>
      </c>
      <c r="D10" s="49">
        <f>C10/H10/1.82</f>
        <v>66.442307692307693</v>
      </c>
      <c r="E10" s="50">
        <v>40</v>
      </c>
      <c r="F10" s="50"/>
      <c r="G10" s="50"/>
      <c r="H10" s="57">
        <f t="shared" ref="H10:H29" si="1">SUM(E10:G10)</f>
        <v>40</v>
      </c>
      <c r="I10" s="53">
        <v>7</v>
      </c>
      <c r="J10" s="52">
        <v>1</v>
      </c>
      <c r="K10" s="52">
        <v>6</v>
      </c>
      <c r="L10" s="1553">
        <v>6</v>
      </c>
      <c r="M10" s="1553"/>
      <c r="N10" s="1553"/>
      <c r="O10" s="1553">
        <v>3</v>
      </c>
      <c r="P10" s="54">
        <f t="shared" ref="P10:P29" si="2">SUM(L10:O10)</f>
        <v>9</v>
      </c>
      <c r="Q10" s="140">
        <f t="shared" ref="Q10:Q26" si="3">I10-P10</f>
        <v>-2</v>
      </c>
      <c r="R10" s="53">
        <v>22</v>
      </c>
      <c r="S10" s="53">
        <v>20</v>
      </c>
      <c r="T10" s="1553"/>
      <c r="U10" s="1553"/>
      <c r="V10" s="1553"/>
      <c r="W10" s="1553">
        <v>6</v>
      </c>
      <c r="X10" s="54">
        <f t="shared" ref="X10:X27" si="4">SUM(S10:W10)</f>
        <v>26</v>
      </c>
      <c r="Y10" s="140">
        <f t="shared" ref="Y10:Y29" si="5">R10-X10</f>
        <v>-4</v>
      </c>
      <c r="Z10" s="52"/>
      <c r="AA10" s="50"/>
      <c r="AB10" s="50"/>
      <c r="AC10" s="141">
        <f t="shared" si="0"/>
        <v>0</v>
      </c>
      <c r="AD10" s="52"/>
      <c r="AE10" s="52"/>
      <c r="AF10" s="52"/>
    </row>
    <row r="11" spans="1:32" s="32" customFormat="1">
      <c r="A11" s="49" t="s">
        <v>6953</v>
      </c>
      <c r="B11" s="49">
        <v>102</v>
      </c>
      <c r="C11" s="49">
        <v>705</v>
      </c>
      <c r="D11" s="49">
        <f t="shared" ref="D11:D25" si="6">C11/H11/1.82</f>
        <v>29.797125950972106</v>
      </c>
      <c r="E11" s="50">
        <v>13</v>
      </c>
      <c r="F11" s="50"/>
      <c r="G11" s="50"/>
      <c r="H11" s="57">
        <f t="shared" si="1"/>
        <v>13</v>
      </c>
      <c r="I11" s="53">
        <v>3</v>
      </c>
      <c r="J11" s="52"/>
      <c r="K11" s="52"/>
      <c r="L11" s="1553">
        <v>3</v>
      </c>
      <c r="M11" s="1553"/>
      <c r="N11" s="1553"/>
      <c r="O11" s="1553"/>
      <c r="P11" s="54">
        <f t="shared" si="2"/>
        <v>3</v>
      </c>
      <c r="Q11" s="140">
        <f t="shared" si="3"/>
        <v>0</v>
      </c>
      <c r="R11" s="53">
        <v>9</v>
      </c>
      <c r="S11" s="53">
        <v>7</v>
      </c>
      <c r="T11" s="1553"/>
      <c r="U11" s="1553"/>
      <c r="V11" s="1553">
        <v>1</v>
      </c>
      <c r="W11" s="1553"/>
      <c r="X11" s="54">
        <f t="shared" si="4"/>
        <v>8</v>
      </c>
      <c r="Y11" s="140">
        <f t="shared" si="5"/>
        <v>1</v>
      </c>
      <c r="Z11" s="52"/>
      <c r="AA11" s="50"/>
      <c r="AB11" s="50"/>
      <c r="AC11" s="141">
        <f t="shared" si="0"/>
        <v>0</v>
      </c>
      <c r="AD11" s="52"/>
      <c r="AE11" s="52"/>
      <c r="AF11" s="52"/>
    </row>
    <row r="12" spans="1:32" s="32" customFormat="1">
      <c r="A12" s="49" t="s">
        <v>1952</v>
      </c>
      <c r="B12" s="49">
        <v>186</v>
      </c>
      <c r="C12" s="49">
        <v>2991</v>
      </c>
      <c r="D12" s="49">
        <f t="shared" si="6"/>
        <v>41.085164835164839</v>
      </c>
      <c r="E12" s="50">
        <v>40</v>
      </c>
      <c r="F12" s="50"/>
      <c r="G12" s="50"/>
      <c r="H12" s="57">
        <f t="shared" si="1"/>
        <v>40</v>
      </c>
      <c r="I12" s="53">
        <v>8</v>
      </c>
      <c r="J12" s="52">
        <v>1</v>
      </c>
      <c r="K12" s="52">
        <v>7</v>
      </c>
      <c r="L12" s="1553">
        <v>6</v>
      </c>
      <c r="M12" s="1553"/>
      <c r="N12" s="1553"/>
      <c r="O12" s="1553">
        <v>3</v>
      </c>
      <c r="P12" s="54">
        <f t="shared" si="2"/>
        <v>9</v>
      </c>
      <c r="Q12" s="140">
        <f t="shared" si="3"/>
        <v>-1</v>
      </c>
      <c r="R12" s="53">
        <v>21</v>
      </c>
      <c r="S12" s="53">
        <v>15</v>
      </c>
      <c r="T12" s="1553"/>
      <c r="U12" s="1553"/>
      <c r="V12" s="1553">
        <v>5</v>
      </c>
      <c r="W12" s="1553">
        <v>3</v>
      </c>
      <c r="X12" s="54">
        <f t="shared" si="4"/>
        <v>23</v>
      </c>
      <c r="Y12" s="140">
        <f t="shared" si="5"/>
        <v>-2</v>
      </c>
      <c r="Z12" s="52">
        <v>3</v>
      </c>
      <c r="AA12" s="50">
        <v>4</v>
      </c>
      <c r="AB12" s="50"/>
      <c r="AC12" s="141"/>
      <c r="AD12" s="52"/>
      <c r="AE12" s="52"/>
      <c r="AF12" s="52"/>
    </row>
    <row r="13" spans="1:32" s="32" customFormat="1" ht="24">
      <c r="A13" s="49" t="s">
        <v>6954</v>
      </c>
      <c r="B13" s="49">
        <v>49</v>
      </c>
      <c r="C13" s="49">
        <v>331</v>
      </c>
      <c r="D13" s="49">
        <f t="shared" si="6"/>
        <v>22.733516483516482</v>
      </c>
      <c r="E13" s="50">
        <v>8</v>
      </c>
      <c r="F13" s="50"/>
      <c r="G13" s="50"/>
      <c r="H13" s="57">
        <f t="shared" si="1"/>
        <v>8</v>
      </c>
      <c r="I13" s="53">
        <v>3</v>
      </c>
      <c r="J13" s="52"/>
      <c r="K13" s="52">
        <v>3</v>
      </c>
      <c r="L13" s="1553">
        <v>2</v>
      </c>
      <c r="M13" s="1553"/>
      <c r="N13" s="1553"/>
      <c r="O13" s="1553">
        <v>2</v>
      </c>
      <c r="P13" s="54">
        <f t="shared" si="2"/>
        <v>4</v>
      </c>
      <c r="Q13" s="140">
        <f t="shared" si="3"/>
        <v>-1</v>
      </c>
      <c r="R13" s="53">
        <v>6</v>
      </c>
      <c r="S13" s="53">
        <v>5</v>
      </c>
      <c r="T13" s="1553"/>
      <c r="U13" s="1553"/>
      <c r="V13" s="1553"/>
      <c r="W13" s="1553">
        <v>3</v>
      </c>
      <c r="X13" s="54">
        <f t="shared" si="4"/>
        <v>8</v>
      </c>
      <c r="Y13" s="140">
        <f t="shared" si="5"/>
        <v>-2</v>
      </c>
      <c r="Z13" s="52"/>
      <c r="AA13" s="50"/>
      <c r="AB13" s="50"/>
      <c r="AC13" s="141">
        <f t="shared" si="0"/>
        <v>0</v>
      </c>
      <c r="AD13" s="52"/>
      <c r="AE13" s="52"/>
      <c r="AF13" s="52"/>
    </row>
    <row r="14" spans="1:32" s="32" customFormat="1" ht="24">
      <c r="A14" s="49" t="s">
        <v>1953</v>
      </c>
      <c r="B14" s="49">
        <v>1822</v>
      </c>
      <c r="C14" s="49">
        <v>9289</v>
      </c>
      <c r="D14" s="49">
        <f t="shared" si="6"/>
        <v>63.79807692307692</v>
      </c>
      <c r="E14" s="50">
        <v>80</v>
      </c>
      <c r="F14" s="50"/>
      <c r="G14" s="50"/>
      <c r="H14" s="57">
        <f t="shared" si="1"/>
        <v>80</v>
      </c>
      <c r="I14" s="53">
        <v>17</v>
      </c>
      <c r="J14" s="52">
        <v>2</v>
      </c>
      <c r="K14" s="52">
        <v>15</v>
      </c>
      <c r="L14" s="1553">
        <v>16</v>
      </c>
      <c r="M14" s="1553"/>
      <c r="N14" s="1553"/>
      <c r="O14" s="1553"/>
      <c r="P14" s="54">
        <f t="shared" si="2"/>
        <v>16</v>
      </c>
      <c r="Q14" s="140">
        <f t="shared" si="3"/>
        <v>1</v>
      </c>
      <c r="R14" s="53">
        <v>60</v>
      </c>
      <c r="S14" s="53">
        <v>40</v>
      </c>
      <c r="T14" s="1553"/>
      <c r="U14" s="1553"/>
      <c r="V14" s="1553">
        <v>24</v>
      </c>
      <c r="W14" s="1553"/>
      <c r="X14" s="54">
        <f t="shared" si="4"/>
        <v>64</v>
      </c>
      <c r="Y14" s="140">
        <f t="shared" si="5"/>
        <v>-4</v>
      </c>
      <c r="Z14" s="52"/>
      <c r="AA14" s="50"/>
      <c r="AB14" s="50"/>
      <c r="AC14" s="141">
        <f t="shared" si="0"/>
        <v>0</v>
      </c>
      <c r="AD14" s="52"/>
      <c r="AE14" s="52"/>
      <c r="AF14" s="52"/>
    </row>
    <row r="15" spans="1:32" s="32" customFormat="1">
      <c r="A15" s="49" t="s">
        <v>1954</v>
      </c>
      <c r="B15" s="49">
        <v>408</v>
      </c>
      <c r="C15" s="49">
        <v>3623</v>
      </c>
      <c r="D15" s="49">
        <f t="shared" si="6"/>
        <v>56.875981161695449</v>
      </c>
      <c r="E15" s="50">
        <v>35</v>
      </c>
      <c r="F15" s="50"/>
      <c r="G15" s="50"/>
      <c r="H15" s="57">
        <f t="shared" si="1"/>
        <v>35</v>
      </c>
      <c r="I15" s="53">
        <v>9</v>
      </c>
      <c r="J15" s="52">
        <v>1</v>
      </c>
      <c r="K15" s="52">
        <v>8</v>
      </c>
      <c r="L15" s="1553">
        <v>6</v>
      </c>
      <c r="M15" s="1553"/>
      <c r="N15" s="1553"/>
      <c r="O15" s="1553"/>
      <c r="P15" s="54">
        <f t="shared" si="2"/>
        <v>6</v>
      </c>
      <c r="Q15" s="140">
        <f t="shared" si="3"/>
        <v>3</v>
      </c>
      <c r="R15" s="53">
        <v>26</v>
      </c>
      <c r="S15" s="53">
        <v>18</v>
      </c>
      <c r="T15" s="1553"/>
      <c r="U15" s="1553"/>
      <c r="V15" s="1553">
        <v>11</v>
      </c>
      <c r="W15" s="1553"/>
      <c r="X15" s="54">
        <f t="shared" si="4"/>
        <v>29</v>
      </c>
      <c r="Y15" s="140">
        <f t="shared" si="5"/>
        <v>-3</v>
      </c>
      <c r="Z15" s="52"/>
      <c r="AA15" s="50"/>
      <c r="AB15" s="50"/>
      <c r="AC15" s="141">
        <f t="shared" si="0"/>
        <v>0</v>
      </c>
      <c r="AD15" s="52"/>
      <c r="AE15" s="52"/>
      <c r="AF15" s="52"/>
    </row>
    <row r="16" spans="1:32" s="32" customFormat="1">
      <c r="A16" s="49" t="s">
        <v>1955</v>
      </c>
      <c r="B16" s="49">
        <v>425</v>
      </c>
      <c r="C16" s="49">
        <v>2360</v>
      </c>
      <c r="D16" s="49">
        <f t="shared" si="6"/>
        <v>43.223443223443226</v>
      </c>
      <c r="E16" s="50">
        <v>30</v>
      </c>
      <c r="F16" s="50"/>
      <c r="G16" s="50"/>
      <c r="H16" s="57">
        <f t="shared" si="1"/>
        <v>30</v>
      </c>
      <c r="I16" s="53">
        <v>6</v>
      </c>
      <c r="J16" s="52">
        <v>1</v>
      </c>
      <c r="K16" s="52">
        <v>5</v>
      </c>
      <c r="L16" s="1553">
        <v>6</v>
      </c>
      <c r="M16" s="1553"/>
      <c r="N16" s="1553"/>
      <c r="O16" s="1553"/>
      <c r="P16" s="54">
        <f t="shared" si="2"/>
        <v>6</v>
      </c>
      <c r="Q16" s="140">
        <f t="shared" si="3"/>
        <v>0</v>
      </c>
      <c r="R16" s="53">
        <v>20</v>
      </c>
      <c r="S16" s="53">
        <v>15</v>
      </c>
      <c r="T16" s="1553"/>
      <c r="U16" s="1553"/>
      <c r="V16" s="1553">
        <v>9</v>
      </c>
      <c r="W16" s="1553"/>
      <c r="X16" s="54">
        <f t="shared" si="4"/>
        <v>24</v>
      </c>
      <c r="Y16" s="140">
        <f t="shared" si="5"/>
        <v>-4</v>
      </c>
      <c r="Z16" s="52"/>
      <c r="AA16" s="50"/>
      <c r="AB16" s="50"/>
      <c r="AC16" s="141">
        <f t="shared" si="0"/>
        <v>0</v>
      </c>
      <c r="AD16" s="52"/>
      <c r="AE16" s="52"/>
      <c r="AF16" s="52"/>
    </row>
    <row r="17" spans="1:32" s="32" customFormat="1">
      <c r="A17" s="49" t="s">
        <v>1956</v>
      </c>
      <c r="B17" s="49">
        <v>394</v>
      </c>
      <c r="C17" s="49">
        <v>1941</v>
      </c>
      <c r="D17" s="49">
        <f t="shared" si="6"/>
        <v>66.655219780219781</v>
      </c>
      <c r="E17" s="50"/>
      <c r="F17" s="50">
        <v>14</v>
      </c>
      <c r="G17" s="50">
        <v>2</v>
      </c>
      <c r="H17" s="57">
        <f t="shared" si="1"/>
        <v>16</v>
      </c>
      <c r="I17" s="53">
        <v>9</v>
      </c>
      <c r="J17" s="52">
        <v>3</v>
      </c>
      <c r="K17" s="52">
        <v>7</v>
      </c>
      <c r="L17" s="1553"/>
      <c r="M17" s="1553">
        <v>6</v>
      </c>
      <c r="N17" s="1553">
        <v>1</v>
      </c>
      <c r="O17" s="1553"/>
      <c r="P17" s="54">
        <f t="shared" si="2"/>
        <v>7</v>
      </c>
      <c r="Q17" s="140">
        <f t="shared" si="3"/>
        <v>2</v>
      </c>
      <c r="R17" s="53">
        <v>26</v>
      </c>
      <c r="S17" s="53"/>
      <c r="T17" s="1553"/>
      <c r="U17" s="1553">
        <v>28</v>
      </c>
      <c r="V17" s="1553">
        <v>8</v>
      </c>
      <c r="W17" s="1553"/>
      <c r="X17" s="54">
        <f t="shared" si="4"/>
        <v>36</v>
      </c>
      <c r="Y17" s="140">
        <f t="shared" si="5"/>
        <v>-10</v>
      </c>
      <c r="Z17" s="52"/>
      <c r="AA17" s="50"/>
      <c r="AB17" s="50"/>
      <c r="AC17" s="141">
        <f t="shared" si="0"/>
        <v>0</v>
      </c>
      <c r="AD17" s="52"/>
      <c r="AE17" s="52"/>
      <c r="AF17" s="52"/>
    </row>
    <row r="18" spans="1:32" s="32" customFormat="1">
      <c r="A18" s="49" t="s">
        <v>1957</v>
      </c>
      <c r="B18" s="49">
        <v>525</v>
      </c>
      <c r="C18" s="49">
        <v>1613</v>
      </c>
      <c r="D18" s="49">
        <f t="shared" si="6"/>
        <v>59.08424908424908</v>
      </c>
      <c r="E18" s="50">
        <v>15</v>
      </c>
      <c r="F18" s="50"/>
      <c r="G18" s="50"/>
      <c r="H18" s="57">
        <f t="shared" si="1"/>
        <v>15</v>
      </c>
      <c r="I18" s="53">
        <v>7</v>
      </c>
      <c r="J18" s="52">
        <v>1</v>
      </c>
      <c r="K18" s="52">
        <v>6</v>
      </c>
      <c r="L18" s="1553">
        <v>3</v>
      </c>
      <c r="M18" s="1553"/>
      <c r="N18" s="1553"/>
      <c r="O18" s="1553">
        <v>4</v>
      </c>
      <c r="P18" s="54">
        <f t="shared" si="2"/>
        <v>7</v>
      </c>
      <c r="Q18" s="140">
        <f t="shared" si="3"/>
        <v>0</v>
      </c>
      <c r="R18" s="53">
        <v>13</v>
      </c>
      <c r="S18" s="53">
        <v>11</v>
      </c>
      <c r="T18" s="1553"/>
      <c r="U18" s="1553"/>
      <c r="V18" s="1553"/>
      <c r="W18" s="1553">
        <v>4</v>
      </c>
      <c r="X18" s="54">
        <f t="shared" si="4"/>
        <v>15</v>
      </c>
      <c r="Y18" s="140">
        <f t="shared" si="5"/>
        <v>-2</v>
      </c>
      <c r="Z18" s="52">
        <v>1</v>
      </c>
      <c r="AA18" s="50">
        <v>1</v>
      </c>
      <c r="AB18" s="50"/>
      <c r="AC18" s="141"/>
      <c r="AD18" s="52"/>
      <c r="AE18" s="52"/>
      <c r="AF18" s="52"/>
    </row>
    <row r="19" spans="1:32" s="32" customFormat="1" ht="36">
      <c r="A19" s="49" t="s">
        <v>6955</v>
      </c>
      <c r="B19" s="49">
        <v>634</v>
      </c>
      <c r="C19" s="49">
        <v>1891</v>
      </c>
      <c r="D19" s="49">
        <f t="shared" si="6"/>
        <v>69.26739926739927</v>
      </c>
      <c r="E19" s="50">
        <v>15</v>
      </c>
      <c r="F19" s="50"/>
      <c r="G19" s="50"/>
      <c r="H19" s="57">
        <f t="shared" si="1"/>
        <v>15</v>
      </c>
      <c r="I19" s="53">
        <v>8</v>
      </c>
      <c r="J19" s="52">
        <v>1</v>
      </c>
      <c r="K19" s="52">
        <v>7</v>
      </c>
      <c r="L19" s="1553">
        <v>3</v>
      </c>
      <c r="M19" s="1553"/>
      <c r="N19" s="1553"/>
      <c r="O19" s="1553">
        <v>4</v>
      </c>
      <c r="P19" s="54">
        <f t="shared" si="2"/>
        <v>7</v>
      </c>
      <c r="Q19" s="140">
        <f t="shared" si="3"/>
        <v>1</v>
      </c>
      <c r="R19" s="53">
        <v>13</v>
      </c>
      <c r="S19" s="53">
        <v>11</v>
      </c>
      <c r="T19" s="1553"/>
      <c r="U19" s="1553"/>
      <c r="V19" s="1553"/>
      <c r="W19" s="1553">
        <v>4</v>
      </c>
      <c r="X19" s="54">
        <f t="shared" si="4"/>
        <v>15</v>
      </c>
      <c r="Y19" s="140">
        <f t="shared" si="5"/>
        <v>-2</v>
      </c>
      <c r="Z19" s="52"/>
      <c r="AA19" s="50">
        <v>1</v>
      </c>
      <c r="AB19" s="50"/>
      <c r="AC19" s="141"/>
      <c r="AD19" s="52"/>
      <c r="AE19" s="52"/>
      <c r="AF19" s="52"/>
    </row>
    <row r="20" spans="1:32" s="32" customFormat="1">
      <c r="A20" s="49" t="s">
        <v>6956</v>
      </c>
      <c r="B20" s="49">
        <v>448</v>
      </c>
      <c r="C20" s="49">
        <v>3462</v>
      </c>
      <c r="D20" s="49">
        <f t="shared" si="6"/>
        <v>63.406593406593409</v>
      </c>
      <c r="E20" s="50">
        <v>30</v>
      </c>
      <c r="F20" s="50"/>
      <c r="G20" s="50"/>
      <c r="H20" s="57">
        <f t="shared" si="1"/>
        <v>30</v>
      </c>
      <c r="I20" s="53">
        <v>7</v>
      </c>
      <c r="J20" s="52"/>
      <c r="K20" s="52">
        <v>7</v>
      </c>
      <c r="L20" s="1553">
        <v>6</v>
      </c>
      <c r="M20" s="1553"/>
      <c r="N20" s="1553"/>
      <c r="O20" s="1553"/>
      <c r="P20" s="54">
        <f t="shared" si="2"/>
        <v>6</v>
      </c>
      <c r="Q20" s="140">
        <f t="shared" si="3"/>
        <v>1</v>
      </c>
      <c r="R20" s="53">
        <v>18</v>
      </c>
      <c r="S20" s="53">
        <v>17</v>
      </c>
      <c r="T20" s="1553"/>
      <c r="U20" s="1553"/>
      <c r="V20" s="1553"/>
      <c r="W20" s="1553"/>
      <c r="X20" s="54">
        <f t="shared" si="4"/>
        <v>17</v>
      </c>
      <c r="Y20" s="140">
        <f t="shared" si="5"/>
        <v>1</v>
      </c>
      <c r="Z20" s="52"/>
      <c r="AA20" s="50">
        <v>1</v>
      </c>
      <c r="AB20" s="50"/>
      <c r="AC20" s="141"/>
      <c r="AD20" s="52"/>
      <c r="AE20" s="52"/>
      <c r="AF20" s="52"/>
    </row>
    <row r="21" spans="1:32" s="32" customFormat="1">
      <c r="A21" s="49" t="s">
        <v>1958</v>
      </c>
      <c r="B21" s="49"/>
      <c r="C21" s="49"/>
      <c r="D21" s="49" t="e">
        <f t="shared" si="6"/>
        <v>#DIV/0!</v>
      </c>
      <c r="E21" s="50"/>
      <c r="F21" s="50"/>
      <c r="G21" s="50"/>
      <c r="H21" s="57">
        <f t="shared" si="1"/>
        <v>0</v>
      </c>
      <c r="I21" s="53">
        <v>6</v>
      </c>
      <c r="J21" s="52">
        <v>1</v>
      </c>
      <c r="K21" s="52">
        <v>5</v>
      </c>
      <c r="L21" s="1553">
        <v>6</v>
      </c>
      <c r="M21" s="1553"/>
      <c r="N21" s="1553"/>
      <c r="O21" s="1553"/>
      <c r="P21" s="54">
        <f t="shared" si="2"/>
        <v>6</v>
      </c>
      <c r="Q21" s="140">
        <f t="shared" si="3"/>
        <v>0</v>
      </c>
      <c r="R21" s="53">
        <v>18</v>
      </c>
      <c r="S21" s="53">
        <v>12</v>
      </c>
      <c r="T21" s="1553"/>
      <c r="U21" s="1553"/>
      <c r="V21" s="1553"/>
      <c r="W21" s="1553"/>
      <c r="X21" s="54">
        <f t="shared" si="4"/>
        <v>12</v>
      </c>
      <c r="Y21" s="140">
        <f t="shared" si="5"/>
        <v>6</v>
      </c>
      <c r="Z21" s="52"/>
      <c r="AA21" s="50"/>
      <c r="AB21" s="50"/>
      <c r="AC21" s="141">
        <f t="shared" si="0"/>
        <v>0</v>
      </c>
      <c r="AD21" s="52"/>
      <c r="AE21" s="52"/>
      <c r="AF21" s="52"/>
    </row>
    <row r="22" spans="1:32" s="32" customFormat="1" ht="24">
      <c r="A22" s="49" t="s">
        <v>6957</v>
      </c>
      <c r="B22" s="49"/>
      <c r="C22" s="49"/>
      <c r="D22" s="49">
        <f t="shared" si="6"/>
        <v>0</v>
      </c>
      <c r="E22" s="50">
        <v>20</v>
      </c>
      <c r="F22" s="50"/>
      <c r="G22" s="50"/>
      <c r="H22" s="57">
        <f t="shared" si="1"/>
        <v>20</v>
      </c>
      <c r="I22" s="53"/>
      <c r="J22" s="52"/>
      <c r="K22" s="52"/>
      <c r="L22" s="1553"/>
      <c r="M22" s="1553"/>
      <c r="N22" s="1553"/>
      <c r="O22" s="1553"/>
      <c r="P22" s="54">
        <f t="shared" si="2"/>
        <v>0</v>
      </c>
      <c r="Q22" s="140">
        <f t="shared" si="3"/>
        <v>0</v>
      </c>
      <c r="R22" s="53"/>
      <c r="S22" s="53"/>
      <c r="T22" s="1553"/>
      <c r="U22" s="1553"/>
      <c r="V22" s="1553"/>
      <c r="W22" s="1553"/>
      <c r="X22" s="54">
        <f t="shared" si="4"/>
        <v>0</v>
      </c>
      <c r="Y22" s="140">
        <f t="shared" si="5"/>
        <v>0</v>
      </c>
      <c r="Z22" s="52"/>
      <c r="AA22" s="50"/>
      <c r="AB22" s="50"/>
      <c r="AC22" s="141">
        <f t="shared" si="0"/>
        <v>0</v>
      </c>
      <c r="AD22" s="52"/>
      <c r="AE22" s="52"/>
      <c r="AF22" s="52"/>
    </row>
    <row r="23" spans="1:32" s="32" customFormat="1" ht="36">
      <c r="A23" s="49" t="s">
        <v>6958</v>
      </c>
      <c r="B23" s="49">
        <v>90</v>
      </c>
      <c r="C23" s="49">
        <v>596</v>
      </c>
      <c r="D23" s="49">
        <f t="shared" si="6"/>
        <v>32.747252747252745</v>
      </c>
      <c r="E23" s="50">
        <v>10</v>
      </c>
      <c r="F23" s="50"/>
      <c r="G23" s="50"/>
      <c r="H23" s="57">
        <f t="shared" si="1"/>
        <v>10</v>
      </c>
      <c r="I23" s="53">
        <v>2</v>
      </c>
      <c r="J23" s="52">
        <v>1</v>
      </c>
      <c r="K23" s="52">
        <v>1</v>
      </c>
      <c r="L23" s="1553">
        <v>2</v>
      </c>
      <c r="M23" s="1553"/>
      <c r="N23" s="1553"/>
      <c r="O23" s="1553"/>
      <c r="P23" s="54">
        <f t="shared" si="2"/>
        <v>2</v>
      </c>
      <c r="Q23" s="140">
        <f t="shared" si="3"/>
        <v>0</v>
      </c>
      <c r="R23" s="53">
        <v>6</v>
      </c>
      <c r="S23" s="53">
        <v>14</v>
      </c>
      <c r="T23" s="1553"/>
      <c r="U23" s="1553"/>
      <c r="V23" s="1553"/>
      <c r="W23" s="1553"/>
      <c r="X23" s="54">
        <f t="shared" si="4"/>
        <v>14</v>
      </c>
      <c r="Y23" s="140">
        <f t="shared" si="5"/>
        <v>-8</v>
      </c>
      <c r="Z23" s="52"/>
      <c r="AA23" s="50"/>
      <c r="AB23" s="50"/>
      <c r="AC23" s="141">
        <f t="shared" si="0"/>
        <v>0</v>
      </c>
      <c r="AD23" s="52"/>
      <c r="AE23" s="52"/>
      <c r="AF23" s="52"/>
    </row>
    <row r="24" spans="1:32" s="32" customFormat="1" ht="24">
      <c r="A24" s="49" t="s">
        <v>6959</v>
      </c>
      <c r="B24" s="49">
        <v>1969</v>
      </c>
      <c r="C24" s="49">
        <v>11059</v>
      </c>
      <c r="D24" s="49">
        <f t="shared" si="6"/>
        <v>71.48674854557207</v>
      </c>
      <c r="E24" s="50">
        <v>75</v>
      </c>
      <c r="F24" s="50">
        <v>10</v>
      </c>
      <c r="G24" s="50"/>
      <c r="H24" s="57">
        <f t="shared" si="1"/>
        <v>85</v>
      </c>
      <c r="I24" s="53">
        <v>22</v>
      </c>
      <c r="J24" s="52">
        <v>8</v>
      </c>
      <c r="K24" s="52">
        <v>14</v>
      </c>
      <c r="L24" s="1553">
        <v>14</v>
      </c>
      <c r="M24" s="1553">
        <v>4</v>
      </c>
      <c r="N24" s="1553"/>
      <c r="O24" s="1553">
        <v>5</v>
      </c>
      <c r="P24" s="54">
        <f t="shared" si="2"/>
        <v>23</v>
      </c>
      <c r="Q24" s="140">
        <f t="shared" si="3"/>
        <v>-1</v>
      </c>
      <c r="R24" s="53">
        <v>59</v>
      </c>
      <c r="S24" s="53">
        <v>38</v>
      </c>
      <c r="T24" s="1553">
        <v>20</v>
      </c>
      <c r="U24" s="1553"/>
      <c r="V24" s="1553">
        <v>6</v>
      </c>
      <c r="W24" s="1553">
        <v>12</v>
      </c>
      <c r="X24" s="54">
        <f t="shared" si="4"/>
        <v>76</v>
      </c>
      <c r="Y24" s="140">
        <f t="shared" si="5"/>
        <v>-17</v>
      </c>
      <c r="Z24" s="52"/>
      <c r="AA24" s="50"/>
      <c r="AB24" s="50"/>
      <c r="AC24" s="141">
        <f t="shared" si="0"/>
        <v>0</v>
      </c>
      <c r="AD24" s="52"/>
      <c r="AE24" s="52"/>
      <c r="AF24" s="52"/>
    </row>
    <row r="25" spans="1:32" ht="15.75" customHeight="1">
      <c r="A25" s="49" t="s">
        <v>6960</v>
      </c>
      <c r="B25" s="49">
        <v>1253</v>
      </c>
      <c r="C25" s="49">
        <v>5270</v>
      </c>
      <c r="D25" s="49">
        <f t="shared" si="6"/>
        <v>48.260073260073256</v>
      </c>
      <c r="E25" s="50">
        <v>60</v>
      </c>
      <c r="F25" s="50"/>
      <c r="G25" s="50"/>
      <c r="H25" s="57">
        <f t="shared" si="1"/>
        <v>60</v>
      </c>
      <c r="I25" s="53">
        <v>15</v>
      </c>
      <c r="J25" s="52"/>
      <c r="K25" s="52">
        <v>15</v>
      </c>
      <c r="L25" s="1553">
        <v>14</v>
      </c>
      <c r="M25" s="1553"/>
      <c r="N25" s="1553"/>
      <c r="O25" s="1553"/>
      <c r="P25" s="54">
        <f t="shared" si="2"/>
        <v>14</v>
      </c>
      <c r="Q25" s="140">
        <f t="shared" si="3"/>
        <v>1</v>
      </c>
      <c r="R25" s="53">
        <v>56</v>
      </c>
      <c r="S25" s="53">
        <v>60</v>
      </c>
      <c r="T25" s="1553"/>
      <c r="U25" s="1553"/>
      <c r="V25" s="1553"/>
      <c r="W25" s="1553"/>
      <c r="X25" s="54">
        <f t="shared" si="4"/>
        <v>60</v>
      </c>
      <c r="Y25" s="140">
        <f t="shared" si="5"/>
        <v>-4</v>
      </c>
      <c r="Z25" s="52"/>
      <c r="AA25" s="50"/>
      <c r="AB25" s="50"/>
      <c r="AC25" s="141">
        <f t="shared" si="0"/>
        <v>0</v>
      </c>
      <c r="AD25" s="52"/>
      <c r="AE25" s="52"/>
      <c r="AF25" s="52"/>
    </row>
    <row r="26" spans="1:32">
      <c r="A26" s="49" t="s">
        <v>1959</v>
      </c>
      <c r="B26" s="49">
        <v>703</v>
      </c>
      <c r="C26" s="49">
        <v>2007</v>
      </c>
      <c r="D26" s="49">
        <f t="shared" ref="D26:D27" si="7">C26/H26/3.65</f>
        <v>18.328767123287673</v>
      </c>
      <c r="E26" s="50">
        <v>30</v>
      </c>
      <c r="F26" s="50"/>
      <c r="G26" s="50"/>
      <c r="H26" s="57">
        <f t="shared" si="1"/>
        <v>30</v>
      </c>
      <c r="I26" s="53">
        <v>5</v>
      </c>
      <c r="J26" s="52"/>
      <c r="K26" s="52"/>
      <c r="L26" s="1553"/>
      <c r="M26" s="1553"/>
      <c r="N26" s="1553"/>
      <c r="O26" s="1553"/>
      <c r="P26" s="54">
        <f t="shared" si="2"/>
        <v>0</v>
      </c>
      <c r="Q26" s="140">
        <f t="shared" si="3"/>
        <v>5</v>
      </c>
      <c r="R26" s="53">
        <v>18</v>
      </c>
      <c r="S26" s="53">
        <v>21</v>
      </c>
      <c r="T26" s="1553"/>
      <c r="U26" s="1553"/>
      <c r="V26" s="1553"/>
      <c r="W26" s="1553"/>
      <c r="X26" s="54">
        <f t="shared" si="4"/>
        <v>21</v>
      </c>
      <c r="Y26" s="140">
        <f t="shared" si="5"/>
        <v>-3</v>
      </c>
      <c r="Z26" s="52"/>
      <c r="AA26" s="50"/>
      <c r="AB26" s="50"/>
      <c r="AC26" s="141"/>
      <c r="AD26" s="52"/>
      <c r="AE26" s="52"/>
      <c r="AF26" s="52"/>
    </row>
    <row r="27" spans="1:32">
      <c r="A27" s="49" t="s">
        <v>1960</v>
      </c>
      <c r="B27" s="49">
        <v>550</v>
      </c>
      <c r="C27" s="49">
        <v>3263</v>
      </c>
      <c r="D27" s="49">
        <f t="shared" si="7"/>
        <v>29.799086757990867</v>
      </c>
      <c r="E27" s="50">
        <v>30</v>
      </c>
      <c r="F27" s="50"/>
      <c r="G27" s="50"/>
      <c r="H27" s="57">
        <f t="shared" si="1"/>
        <v>30</v>
      </c>
      <c r="I27" s="53">
        <v>6</v>
      </c>
      <c r="J27" s="52"/>
      <c r="K27" s="52"/>
      <c r="L27" s="1553"/>
      <c r="M27" s="1553"/>
      <c r="N27" s="1553"/>
      <c r="O27" s="1553"/>
      <c r="P27" s="54"/>
      <c r="Q27" s="140"/>
      <c r="R27" s="53">
        <v>19</v>
      </c>
      <c r="S27" s="53">
        <v>21</v>
      </c>
      <c r="T27" s="1553"/>
      <c r="U27" s="1553"/>
      <c r="V27" s="1553"/>
      <c r="W27" s="1553"/>
      <c r="X27" s="54">
        <f t="shared" si="4"/>
        <v>21</v>
      </c>
      <c r="Y27" s="140">
        <f t="shared" si="5"/>
        <v>-2</v>
      </c>
      <c r="Z27" s="52"/>
      <c r="AA27" s="50"/>
      <c r="AB27" s="50"/>
      <c r="AC27" s="141"/>
      <c r="AD27" s="52"/>
      <c r="AE27" s="52"/>
      <c r="AF27" s="52"/>
    </row>
    <row r="28" spans="1:32">
      <c r="A28" s="49" t="s">
        <v>1961</v>
      </c>
      <c r="B28" s="49"/>
      <c r="C28" s="49"/>
      <c r="D28" s="49"/>
      <c r="E28" s="50"/>
      <c r="F28" s="50"/>
      <c r="G28" s="50"/>
      <c r="H28" s="57"/>
      <c r="I28" s="53">
        <v>4</v>
      </c>
      <c r="J28" s="52"/>
      <c r="K28" s="52"/>
      <c r="L28" s="1553"/>
      <c r="M28" s="1553"/>
      <c r="N28" s="1553"/>
      <c r="O28" s="1553"/>
      <c r="P28" s="54"/>
      <c r="Q28" s="140"/>
      <c r="R28" s="53">
        <v>19</v>
      </c>
      <c r="S28" s="53">
        <v>18</v>
      </c>
      <c r="T28" s="1553"/>
      <c r="U28" s="1553"/>
      <c r="V28" s="1553"/>
      <c r="W28" s="1553"/>
      <c r="X28" s="54">
        <v>18</v>
      </c>
      <c r="Y28" s="140">
        <f t="shared" si="5"/>
        <v>1</v>
      </c>
      <c r="Z28" s="52"/>
      <c r="AA28" s="50"/>
      <c r="AB28" s="50"/>
      <c r="AC28" s="141"/>
      <c r="AD28" s="52"/>
      <c r="AE28" s="52"/>
      <c r="AF28" s="52"/>
    </row>
    <row r="29" spans="1:32">
      <c r="A29" s="142"/>
      <c r="B29" s="57">
        <f>SUM(B9:B25)</f>
        <v>9282</v>
      </c>
      <c r="C29" s="57">
        <f>SUM(C9:C25)</f>
        <v>52351</v>
      </c>
      <c r="D29" s="57">
        <f>C29/H29/1.82</f>
        <v>54.581187313635134</v>
      </c>
      <c r="E29" s="57">
        <f>SUM(E9:E25)</f>
        <v>501</v>
      </c>
      <c r="F29" s="57">
        <f>SUM(F9:F25)</f>
        <v>24</v>
      </c>
      <c r="G29" s="57">
        <f>SUM(G9:G25)</f>
        <v>2</v>
      </c>
      <c r="H29" s="57">
        <f t="shared" si="1"/>
        <v>527</v>
      </c>
      <c r="I29" s="668">
        <f>SUM(I9:I25)</f>
        <v>138</v>
      </c>
      <c r="J29" s="57">
        <f t="shared" ref="J29:O29" si="8">SUM(J9:J25)</f>
        <v>21</v>
      </c>
      <c r="K29" s="57">
        <f t="shared" si="8"/>
        <v>115</v>
      </c>
      <c r="L29" s="668">
        <f>SUM(L9:L26)</f>
        <v>99</v>
      </c>
      <c r="M29" s="668">
        <f t="shared" si="8"/>
        <v>10</v>
      </c>
      <c r="N29" s="668">
        <f t="shared" si="8"/>
        <v>1</v>
      </c>
      <c r="O29" s="668">
        <f t="shared" si="8"/>
        <v>21</v>
      </c>
      <c r="P29" s="54">
        <f t="shared" si="2"/>
        <v>131</v>
      </c>
      <c r="Q29" s="143">
        <f>I29-P29</f>
        <v>7</v>
      </c>
      <c r="R29" s="668">
        <f t="shared" ref="R29:W29" si="9">SUM(R9:R25)</f>
        <v>393</v>
      </c>
      <c r="S29" s="668">
        <f t="shared" si="9"/>
        <v>297</v>
      </c>
      <c r="T29" s="668">
        <f t="shared" si="9"/>
        <v>20</v>
      </c>
      <c r="U29" s="668">
        <f t="shared" si="9"/>
        <v>28</v>
      </c>
      <c r="V29" s="668">
        <f t="shared" si="9"/>
        <v>66</v>
      </c>
      <c r="W29" s="668">
        <f t="shared" si="9"/>
        <v>37</v>
      </c>
      <c r="X29" s="54">
        <f>SUM(S29:W29)</f>
        <v>448</v>
      </c>
      <c r="Y29" s="143">
        <f t="shared" si="5"/>
        <v>-55</v>
      </c>
      <c r="Z29" s="57">
        <f>SUM(Z9:Z25)</f>
        <v>4</v>
      </c>
      <c r="AA29" s="57">
        <f>SUM(AA9:AA25)</f>
        <v>7</v>
      </c>
      <c r="AB29" s="57">
        <f>SUM(AB9:AB25)</f>
        <v>0</v>
      </c>
      <c r="AC29" s="144">
        <f t="shared" si="0"/>
        <v>-3</v>
      </c>
      <c r="AD29" s="57">
        <f>SUM(AD9:AD25)</f>
        <v>0</v>
      </c>
      <c r="AE29" s="57">
        <f>SUM(AE9:AE25)</f>
        <v>0</v>
      </c>
      <c r="AF29" s="57">
        <f>SUM(AF9:AF25)</f>
        <v>0</v>
      </c>
    </row>
    <row r="30" spans="1:32">
      <c r="A30" s="1554"/>
      <c r="B30" s="1554"/>
      <c r="C30" s="1554"/>
      <c r="D30" s="1554"/>
      <c r="E30" s="1554"/>
      <c r="F30" s="1554"/>
      <c r="G30" s="15"/>
      <c r="H30" s="15"/>
      <c r="L30" s="1555"/>
      <c r="M30" s="1555"/>
      <c r="N30" s="1555"/>
      <c r="O30" s="1556"/>
      <c r="R30" s="1555"/>
      <c r="S30" s="1555"/>
      <c r="T30" s="1556"/>
    </row>
    <row r="31" spans="1:32">
      <c r="A31" s="1554"/>
      <c r="B31" s="1554"/>
      <c r="C31" s="1554"/>
      <c r="D31" s="1554"/>
      <c r="E31" s="1554"/>
      <c r="F31" s="1554"/>
      <c r="G31" s="15"/>
      <c r="H31" s="15"/>
      <c r="L31" s="1555"/>
      <c r="M31" s="1555"/>
      <c r="N31" s="1555"/>
      <c r="O31" s="1556"/>
      <c r="R31" s="1555"/>
      <c r="S31" s="1555"/>
      <c r="T31" s="1556"/>
    </row>
    <row r="32" spans="1:32">
      <c r="A32" s="18"/>
      <c r="B32" s="18"/>
      <c r="C32" s="18"/>
      <c r="D32" s="18"/>
      <c r="E32" s="18"/>
      <c r="F32" s="18"/>
      <c r="G32" s="19"/>
      <c r="H32" s="19"/>
      <c r="L32" s="1557"/>
      <c r="M32" s="1557"/>
      <c r="N32" s="1557"/>
      <c r="O32" s="1558"/>
      <c r="R32" s="1557"/>
      <c r="S32" s="1557"/>
      <c r="T32" s="1558"/>
    </row>
    <row r="33" spans="1:20">
      <c r="A33" s="18"/>
      <c r="B33" s="18"/>
      <c r="C33" s="18"/>
      <c r="D33" s="18"/>
      <c r="E33" s="18"/>
      <c r="F33" s="18"/>
      <c r="G33" s="19"/>
      <c r="H33" s="19"/>
      <c r="L33" s="1557"/>
      <c r="M33" s="1557"/>
      <c r="N33" s="1557"/>
      <c r="O33" s="1558"/>
      <c r="R33" s="1557"/>
      <c r="S33" s="1557"/>
      <c r="T33" s="1558"/>
    </row>
    <row r="34" spans="1:20">
      <c r="A34" s="18"/>
      <c r="B34" s="18"/>
      <c r="C34" s="18"/>
      <c r="D34" s="18"/>
      <c r="E34" s="18"/>
      <c r="F34" s="18"/>
      <c r="G34" s="19"/>
      <c r="H34" s="19"/>
      <c r="L34" s="1557"/>
      <c r="M34" s="1557"/>
      <c r="N34" s="1557"/>
      <c r="O34" s="1558"/>
      <c r="R34" s="1557"/>
      <c r="S34" s="1557"/>
      <c r="T34" s="1558"/>
    </row>
    <row r="35" spans="1:20">
      <c r="A35" s="18"/>
      <c r="B35" s="18"/>
      <c r="C35" s="18"/>
      <c r="D35" s="18"/>
      <c r="E35" s="18"/>
      <c r="F35" s="18"/>
      <c r="G35" s="19"/>
      <c r="H35" s="19"/>
      <c r="L35" s="1557"/>
      <c r="M35" s="1557"/>
      <c r="N35" s="1557"/>
      <c r="O35" s="1558"/>
      <c r="R35" s="1557"/>
      <c r="S35" s="1557"/>
      <c r="T35" s="1558"/>
    </row>
    <row r="36" spans="1:20">
      <c r="A36" s="20"/>
      <c r="B36" s="20"/>
      <c r="C36" s="20"/>
      <c r="D36" s="20"/>
      <c r="E36" s="20"/>
      <c r="F36" s="20"/>
    </row>
    <row r="37" spans="1:20">
      <c r="A37" s="20"/>
      <c r="B37" s="20"/>
      <c r="C37" s="20"/>
      <c r="D37" s="20"/>
      <c r="E37" s="20"/>
      <c r="F37" s="20"/>
    </row>
    <row r="38" spans="1:20">
      <c r="A38" s="20"/>
      <c r="B38" s="20"/>
      <c r="C38" s="20"/>
      <c r="D38" s="20"/>
      <c r="E38" s="20"/>
      <c r="F38" s="20"/>
    </row>
    <row r="39" spans="1:20">
      <c r="A39" s="20"/>
      <c r="B39" s="20"/>
      <c r="C39" s="20"/>
      <c r="D39" s="20"/>
      <c r="E39" s="20"/>
      <c r="F39" s="20"/>
    </row>
    <row r="40" spans="1:20">
      <c r="A40" s="20"/>
      <c r="B40" s="20"/>
      <c r="C40" s="20"/>
      <c r="D40" s="20"/>
      <c r="E40" s="20"/>
      <c r="F40" s="20"/>
    </row>
  </sheetData>
  <mergeCells count="28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C3:AF3"/>
    <mergeCell ref="A5:AF5"/>
    <mergeCell ref="C1:AF1"/>
    <mergeCell ref="C2:AE2"/>
    <mergeCell ref="C4:AF4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29"/>
  <sheetViews>
    <sheetView view="pageBreakPreview" zoomScaleSheetLayoutView="100" workbookViewId="0">
      <selection activeCell="F83" sqref="F83"/>
    </sheetView>
  </sheetViews>
  <sheetFormatPr defaultRowHeight="11.25"/>
  <cols>
    <col min="1" max="1" width="12.42578125" style="12" customWidth="1"/>
    <col min="2" max="2" width="33.140625" style="12" customWidth="1"/>
    <col min="3" max="3" width="7.7109375" style="1614" customWidth="1"/>
    <col min="4" max="4" width="13.140625" style="1614" customWidth="1"/>
    <col min="5" max="5" width="7.7109375" style="1614" customWidth="1"/>
    <col min="6" max="6" width="9.140625" style="1614" customWidth="1"/>
    <col min="7" max="7" width="7.7109375" style="1614" customWidth="1"/>
    <col min="8" max="8" width="14" style="1614" customWidth="1"/>
    <col min="9" max="10" width="9.42578125" style="1614" customWidth="1"/>
    <col min="11" max="16384" width="9.140625" style="12"/>
  </cols>
  <sheetData>
    <row r="1" spans="1:10" ht="12">
      <c r="A1" s="110"/>
      <c r="B1" s="111" t="s">
        <v>208</v>
      </c>
      <c r="C1" s="1853" t="s">
        <v>1852</v>
      </c>
      <c r="D1" s="1854"/>
      <c r="E1" s="1854"/>
      <c r="F1" s="1854"/>
      <c r="G1" s="1854"/>
      <c r="H1" s="1854"/>
      <c r="I1" s="1854"/>
      <c r="J1" s="1854"/>
    </row>
    <row r="2" spans="1:10" ht="12">
      <c r="A2" s="110"/>
      <c r="B2" s="111" t="s">
        <v>209</v>
      </c>
      <c r="C2" s="1853">
        <v>17878735</v>
      </c>
      <c r="D2" s="1854"/>
      <c r="E2" s="1854"/>
      <c r="F2" s="1854"/>
      <c r="G2" s="1854"/>
      <c r="H2" s="1854"/>
      <c r="I2" s="1854"/>
      <c r="J2" s="1854"/>
    </row>
    <row r="3" spans="1:10" ht="12">
      <c r="A3" s="110"/>
      <c r="B3" s="111"/>
      <c r="C3" s="2334" t="s">
        <v>2037</v>
      </c>
      <c r="D3" s="1990"/>
      <c r="E3" s="1990"/>
      <c r="F3" s="1990"/>
      <c r="G3" s="1990"/>
      <c r="H3" s="1990"/>
      <c r="I3" s="1990"/>
      <c r="J3" s="1990"/>
    </row>
    <row r="4" spans="1:10" ht="14.25">
      <c r="A4" s="110"/>
      <c r="B4" s="111" t="s">
        <v>210</v>
      </c>
      <c r="C4" s="2335" t="s">
        <v>327</v>
      </c>
      <c r="D4" s="2336"/>
      <c r="E4" s="2336"/>
      <c r="F4" s="2336"/>
      <c r="G4" s="2336"/>
      <c r="H4" s="2336"/>
      <c r="I4" s="2336"/>
      <c r="J4" s="2336"/>
    </row>
    <row r="5" spans="1:10" s="13" customFormat="1" ht="15.75">
      <c r="A5" s="2337"/>
      <c r="B5" s="2337"/>
      <c r="C5" s="2337"/>
      <c r="D5" s="2337"/>
      <c r="E5" s="2337"/>
      <c r="F5" s="2337"/>
      <c r="G5" s="2337"/>
      <c r="H5" s="2337"/>
      <c r="I5" s="2337"/>
      <c r="J5" s="2337"/>
    </row>
    <row r="6" spans="1:10" ht="11.25" customHeight="1">
      <c r="A6" s="1947" t="s">
        <v>55</v>
      </c>
      <c r="B6" s="1947" t="s">
        <v>344</v>
      </c>
      <c r="C6" s="2331" t="s">
        <v>368</v>
      </c>
      <c r="D6" s="2332"/>
      <c r="E6" s="2332"/>
      <c r="F6" s="2333"/>
      <c r="G6" s="2331" t="s">
        <v>1813</v>
      </c>
      <c r="H6" s="2332"/>
      <c r="I6" s="2332"/>
      <c r="J6" s="2333"/>
    </row>
    <row r="7" spans="1:10" ht="56.25">
      <c r="A7" s="1947"/>
      <c r="B7" s="1947"/>
      <c r="C7" s="1617" t="s">
        <v>15</v>
      </c>
      <c r="D7" s="197" t="s">
        <v>52</v>
      </c>
      <c r="E7" s="197" t="s">
        <v>53</v>
      </c>
      <c r="F7" s="197" t="s">
        <v>1808</v>
      </c>
      <c r="G7" s="1617" t="s">
        <v>15</v>
      </c>
      <c r="H7" s="197" t="s">
        <v>52</v>
      </c>
      <c r="I7" s="197" t="s">
        <v>53</v>
      </c>
      <c r="J7" s="197" t="s">
        <v>1809</v>
      </c>
    </row>
    <row r="8" spans="1:10" ht="15">
      <c r="A8" s="1569" t="s">
        <v>6969</v>
      </c>
      <c r="B8" s="1570"/>
      <c r="C8" s="1618"/>
      <c r="D8" s="1619">
        <v>6279000.1608796977</v>
      </c>
      <c r="E8" s="1618"/>
      <c r="F8" s="1618"/>
      <c r="G8" s="1618"/>
      <c r="H8" s="1618"/>
      <c r="I8" s="1618"/>
      <c r="J8" s="1618"/>
    </row>
    <row r="9" spans="1:10" ht="24">
      <c r="A9" s="1571" t="s">
        <v>6970</v>
      </c>
      <c r="B9" s="1572" t="s">
        <v>6971</v>
      </c>
      <c r="C9" s="1620">
        <v>724</v>
      </c>
      <c r="D9" s="1621">
        <v>3469263.9999035448</v>
      </c>
      <c r="E9" s="1618"/>
      <c r="F9" s="1618">
        <v>360</v>
      </c>
      <c r="G9" s="1621">
        <v>417</v>
      </c>
      <c r="H9" s="1621">
        <v>1223361</v>
      </c>
      <c r="I9" s="1618"/>
      <c r="J9" s="1618"/>
    </row>
    <row r="10" spans="1:10" ht="12.75">
      <c r="A10" s="1573" t="s">
        <v>6972</v>
      </c>
      <c r="B10" s="1574" t="s">
        <v>6973</v>
      </c>
      <c r="C10" s="1622">
        <v>86</v>
      </c>
      <c r="D10" s="1622">
        <v>106413.75454545455</v>
      </c>
      <c r="E10" s="1623">
        <v>1236.8227272727272</v>
      </c>
      <c r="F10" s="1623"/>
      <c r="G10" s="1618">
        <v>20</v>
      </c>
      <c r="H10" s="1623">
        <f>20400+2943</f>
        <v>23343</v>
      </c>
      <c r="I10" s="1618">
        <f>+H10/G10</f>
        <v>1167.1500000000001</v>
      </c>
      <c r="J10" s="1618"/>
    </row>
    <row r="11" spans="1:10" ht="12.75">
      <c r="A11" s="1575" t="s">
        <v>6974</v>
      </c>
      <c r="B11" s="1576" t="s">
        <v>6975</v>
      </c>
      <c r="C11" s="1623">
        <v>21</v>
      </c>
      <c r="D11" s="1623">
        <v>48510</v>
      </c>
      <c r="E11" s="1623">
        <v>2310</v>
      </c>
      <c r="F11" s="1623"/>
      <c r="G11" s="1618"/>
      <c r="H11" s="1623"/>
      <c r="I11" s="1618"/>
      <c r="J11" s="1618"/>
    </row>
    <row r="12" spans="1:10" ht="13.5" thickBot="1">
      <c r="A12" s="1577" t="s">
        <v>6976</v>
      </c>
      <c r="B12" s="1578" t="s">
        <v>6977</v>
      </c>
      <c r="C12" s="1623">
        <v>25</v>
      </c>
      <c r="D12" s="1623">
        <v>1204143.1923076925</v>
      </c>
      <c r="E12" s="1623">
        <v>48161.607692307698</v>
      </c>
      <c r="F12" s="1623"/>
      <c r="G12" s="1618">
        <v>1</v>
      </c>
      <c r="H12" s="1623">
        <v>48896</v>
      </c>
      <c r="I12" s="1618">
        <f>+H12/G12</f>
        <v>48896</v>
      </c>
      <c r="J12" s="1618"/>
    </row>
    <row r="13" spans="1:10" ht="13.5" thickBot="1">
      <c r="A13" s="1577" t="s">
        <v>6978</v>
      </c>
      <c r="B13" s="1578" t="s">
        <v>6979</v>
      </c>
      <c r="C13" s="1623">
        <v>2</v>
      </c>
      <c r="D13" s="1623">
        <v>6292</v>
      </c>
      <c r="E13" s="1623">
        <v>3146</v>
      </c>
      <c r="F13" s="1623"/>
      <c r="G13" s="1618">
        <v>3</v>
      </c>
      <c r="H13" s="1623">
        <v>9053</v>
      </c>
      <c r="I13" s="1618">
        <f>+H13/G13</f>
        <v>3017.6666666666665</v>
      </c>
      <c r="J13" s="1618"/>
    </row>
    <row r="14" spans="1:10" ht="13.5" thickBot="1">
      <c r="A14" s="1577" t="s">
        <v>6980</v>
      </c>
      <c r="B14" s="1578" t="s">
        <v>6981</v>
      </c>
      <c r="C14" s="1623">
        <v>359</v>
      </c>
      <c r="D14" s="1623">
        <v>740935.0530503979</v>
      </c>
      <c r="E14" s="1623">
        <v>2063.8859416445625</v>
      </c>
      <c r="F14" s="1623"/>
      <c r="G14" s="1618">
        <v>229</v>
      </c>
      <c r="H14" s="1623">
        <v>630135</v>
      </c>
      <c r="I14" s="1618">
        <f>+H14/G14</f>
        <v>2751.6812227074238</v>
      </c>
      <c r="J14" s="1618"/>
    </row>
    <row r="15" spans="1:10" ht="13.5" thickBot="1">
      <c r="A15" s="1577" t="s">
        <v>6982</v>
      </c>
      <c r="B15" s="1578" t="s">
        <v>6983</v>
      </c>
      <c r="C15" s="1623">
        <v>51</v>
      </c>
      <c r="D15" s="1623">
        <v>984555</v>
      </c>
      <c r="E15" s="1623">
        <v>19305</v>
      </c>
      <c r="F15" s="1623"/>
      <c r="G15" s="1618">
        <v>23</v>
      </c>
      <c r="H15" s="1623">
        <v>444015</v>
      </c>
      <c r="I15" s="1618">
        <f>+H15/G15</f>
        <v>19305</v>
      </c>
      <c r="J15" s="1618"/>
    </row>
    <row r="16" spans="1:10" ht="26.25" thickBot="1">
      <c r="A16" s="1577" t="s">
        <v>6984</v>
      </c>
      <c r="B16" s="1578" t="s">
        <v>6985</v>
      </c>
      <c r="C16" s="1623">
        <v>180</v>
      </c>
      <c r="D16" s="1623">
        <v>378415</v>
      </c>
      <c r="E16" s="1623">
        <v>2102.3055555555557</v>
      </c>
      <c r="F16" s="1623"/>
      <c r="G16" s="1618">
        <v>131</v>
      </c>
      <c r="H16" s="1623">
        <v>56919.199999999997</v>
      </c>
      <c r="I16" s="1618">
        <f>+H16/G16</f>
        <v>434.4977099236641</v>
      </c>
      <c r="J16" s="1618"/>
    </row>
    <row r="17" spans="1:10" ht="12.75">
      <c r="A17" s="104"/>
      <c r="B17" s="1579"/>
      <c r="C17" s="1623"/>
      <c r="D17" s="1623"/>
      <c r="E17" s="1623"/>
      <c r="F17" s="1623"/>
      <c r="G17" s="1618"/>
      <c r="H17" s="1623"/>
      <c r="I17" s="1618"/>
      <c r="J17" s="1618"/>
    </row>
    <row r="18" spans="1:10" ht="12.75">
      <c r="A18" s="104"/>
      <c r="B18" s="1579"/>
      <c r="C18" s="1618"/>
      <c r="D18" s="1623"/>
      <c r="E18" s="1618"/>
      <c r="F18" s="1618"/>
      <c r="G18" s="1618"/>
      <c r="H18" s="1618"/>
      <c r="I18" s="1618"/>
      <c r="J18" s="1618"/>
    </row>
    <row r="19" spans="1:10" ht="12.75">
      <c r="A19" s="104"/>
      <c r="B19" s="1579"/>
      <c r="C19" s="1618"/>
      <c r="D19" s="1618"/>
      <c r="E19" s="1618"/>
      <c r="F19" s="1618"/>
      <c r="G19" s="1618"/>
      <c r="H19" s="1618"/>
      <c r="I19" s="1618"/>
      <c r="J19" s="1618"/>
    </row>
    <row r="20" spans="1:10" ht="12.75">
      <c r="A20" s="104"/>
      <c r="B20" s="1579"/>
      <c r="C20" s="1618"/>
      <c r="D20" s="1618"/>
      <c r="E20" s="1618"/>
      <c r="F20" s="1618"/>
      <c r="G20" s="1618"/>
      <c r="H20" s="1618"/>
      <c r="I20" s="1618"/>
      <c r="J20" s="1618"/>
    </row>
    <row r="21" spans="1:10" ht="12.75">
      <c r="A21" s="104"/>
      <c r="B21" s="1579"/>
      <c r="C21" s="1618"/>
      <c r="D21" s="1618"/>
      <c r="E21" s="1618"/>
      <c r="F21" s="1618"/>
      <c r="G21" s="1618"/>
      <c r="H21" s="1618"/>
      <c r="I21" s="1618"/>
      <c r="J21" s="1618"/>
    </row>
    <row r="22" spans="1:10" ht="12.75">
      <c r="A22" s="104"/>
      <c r="B22" s="1579"/>
      <c r="C22" s="1618"/>
      <c r="D22" s="1618"/>
      <c r="E22" s="1618"/>
      <c r="F22" s="1618"/>
      <c r="G22" s="1618"/>
      <c r="H22" s="1618"/>
      <c r="I22" s="1618"/>
      <c r="J22" s="1618"/>
    </row>
    <row r="23" spans="1:10" ht="12.75">
      <c r="A23" s="104"/>
      <c r="B23" s="1579"/>
      <c r="C23" s="1618"/>
      <c r="D23" s="1618"/>
      <c r="E23" s="1618"/>
      <c r="F23" s="1618"/>
      <c r="G23" s="1618"/>
      <c r="H23" s="1618"/>
      <c r="I23" s="1618"/>
      <c r="J23" s="1618"/>
    </row>
    <row r="24" spans="1:10" ht="12.75">
      <c r="A24" s="104" t="s">
        <v>359</v>
      </c>
      <c r="B24" s="1579"/>
      <c r="C24" s="1618"/>
      <c r="D24" s="1618"/>
      <c r="E24" s="1618"/>
      <c r="F24" s="1618"/>
      <c r="G24" s="1618"/>
      <c r="H24" s="1618"/>
      <c r="I24" s="1618"/>
      <c r="J24" s="1618"/>
    </row>
    <row r="25" spans="1:10" ht="12.75">
      <c r="A25" s="1580"/>
      <c r="B25" s="1581"/>
      <c r="C25" s="1618"/>
      <c r="D25" s="1618"/>
      <c r="E25" s="1618"/>
      <c r="F25" s="1618"/>
      <c r="G25" s="1618"/>
      <c r="H25" s="1618"/>
      <c r="I25" s="1618"/>
      <c r="J25" s="1618"/>
    </row>
    <row r="26" spans="1:10" ht="12.75">
      <c r="A26" s="1582"/>
      <c r="B26" s="1583"/>
      <c r="C26" s="1618"/>
      <c r="D26" s="1618"/>
      <c r="E26" s="1618"/>
      <c r="F26" s="1618"/>
      <c r="G26" s="1618"/>
      <c r="H26" s="1618"/>
      <c r="I26" s="1618"/>
      <c r="J26" s="1618"/>
    </row>
    <row r="27" spans="1:10" ht="15">
      <c r="A27" s="1584" t="s">
        <v>1796</v>
      </c>
      <c r="B27" s="1585"/>
      <c r="C27" s="1618"/>
      <c r="D27" s="1618"/>
      <c r="E27" s="1618"/>
      <c r="F27" s="1618"/>
      <c r="G27" s="1618"/>
      <c r="H27" s="1618"/>
      <c r="I27" s="1618"/>
      <c r="J27" s="1618"/>
    </row>
    <row r="28" spans="1:10" ht="15">
      <c r="A28" s="104"/>
      <c r="B28" s="1583" t="s">
        <v>6986</v>
      </c>
      <c r="C28" s="1623"/>
      <c r="D28" s="1623">
        <v>3624000</v>
      </c>
      <c r="E28" s="1618"/>
      <c r="F28" s="1618">
        <v>50</v>
      </c>
      <c r="G28" s="1621">
        <f>+G29+G30+G31+G32+G33</f>
        <v>65</v>
      </c>
      <c r="H28" s="1621">
        <f>+H29+H30+H31+H32+H33</f>
        <v>2113595</v>
      </c>
      <c r="I28" s="1618"/>
      <c r="J28" s="1618">
        <v>50</v>
      </c>
    </row>
    <row r="29" spans="1:10" ht="12" customHeight="1">
      <c r="A29" s="1586" t="s">
        <v>6987</v>
      </c>
      <c r="B29" s="1586" t="s">
        <v>6988</v>
      </c>
      <c r="C29" s="1623"/>
      <c r="D29" s="1623"/>
      <c r="E29" s="1618"/>
      <c r="F29" s="1618"/>
      <c r="G29" s="1618">
        <v>21</v>
      </c>
      <c r="H29" s="1623">
        <v>259875</v>
      </c>
      <c r="I29" s="1623">
        <f>+H29/G29</f>
        <v>12375</v>
      </c>
      <c r="J29" s="1618"/>
    </row>
    <row r="30" spans="1:10" ht="12" customHeight="1">
      <c r="A30" s="1587" t="s">
        <v>6989</v>
      </c>
      <c r="B30" s="1587" t="s">
        <v>6990</v>
      </c>
      <c r="C30" s="1623"/>
      <c r="D30" s="1623"/>
      <c r="E30" s="1618"/>
      <c r="F30" s="1618"/>
      <c r="G30" s="1618">
        <v>3</v>
      </c>
      <c r="H30" s="1623">
        <v>126390</v>
      </c>
      <c r="I30" s="1623">
        <f t="shared" ref="I30:I33" si="0">+H30/G30</f>
        <v>42130</v>
      </c>
      <c r="J30" s="1618"/>
    </row>
    <row r="31" spans="1:10" ht="12" customHeight="1">
      <c r="A31" s="1586" t="s">
        <v>6991</v>
      </c>
      <c r="B31" s="1586" t="s">
        <v>6992</v>
      </c>
      <c r="C31" s="1623"/>
      <c r="D31" s="1623"/>
      <c r="E31" s="1618"/>
      <c r="F31" s="1618"/>
      <c r="G31" s="1618">
        <v>14</v>
      </c>
      <c r="H31" s="1623">
        <v>589820</v>
      </c>
      <c r="I31" s="1623">
        <f t="shared" si="0"/>
        <v>42130</v>
      </c>
      <c r="J31" s="1618"/>
    </row>
    <row r="32" spans="1:10" ht="12" customHeight="1">
      <c r="A32" s="1586" t="s">
        <v>6993</v>
      </c>
      <c r="B32" s="1586" t="s">
        <v>6994</v>
      </c>
      <c r="C32" s="1623"/>
      <c r="D32" s="1623"/>
      <c r="E32" s="1618"/>
      <c r="F32" s="1618"/>
      <c r="G32" s="1618">
        <v>20</v>
      </c>
      <c r="H32" s="1623">
        <v>842600</v>
      </c>
      <c r="I32" s="1623">
        <f t="shared" si="0"/>
        <v>42130</v>
      </c>
      <c r="J32" s="1618"/>
    </row>
    <row r="33" spans="1:10" ht="12" customHeight="1">
      <c r="A33" s="1586" t="s">
        <v>6995</v>
      </c>
      <c r="B33" s="1586" t="s">
        <v>6996</v>
      </c>
      <c r="C33" s="1623"/>
      <c r="D33" s="1623"/>
      <c r="E33" s="1618"/>
      <c r="F33" s="1618"/>
      <c r="G33" s="1618">
        <v>7</v>
      </c>
      <c r="H33" s="1623">
        <v>294910</v>
      </c>
      <c r="I33" s="1623">
        <f t="shared" si="0"/>
        <v>42130</v>
      </c>
      <c r="J33" s="1618"/>
    </row>
    <row r="34" spans="1:10" s="13" customFormat="1" ht="12" customHeight="1">
      <c r="A34" s="104"/>
      <c r="B34" s="1583"/>
      <c r="C34" s="1623"/>
      <c r="D34" s="1623"/>
      <c r="E34" s="1618"/>
      <c r="F34" s="1618"/>
      <c r="G34" s="1618"/>
      <c r="H34" s="1618"/>
      <c r="I34" s="1618"/>
      <c r="J34" s="1618"/>
    </row>
    <row r="35" spans="1:10" ht="12" customHeight="1">
      <c r="A35" s="104"/>
      <c r="B35" s="1579"/>
      <c r="C35" s="1618"/>
      <c r="D35" s="1618"/>
      <c r="E35" s="1618"/>
      <c r="F35" s="1618"/>
      <c r="G35" s="1618"/>
      <c r="H35" s="1618"/>
      <c r="I35" s="1618"/>
      <c r="J35" s="1618"/>
    </row>
    <row r="36" spans="1:10" ht="12" customHeight="1">
      <c r="A36" s="104" t="s">
        <v>360</v>
      </c>
      <c r="B36" s="1579"/>
      <c r="C36" s="1618"/>
      <c r="D36" s="1618"/>
      <c r="E36" s="1618"/>
      <c r="F36" s="1618"/>
      <c r="G36" s="1618"/>
      <c r="H36" s="1618"/>
      <c r="I36" s="1618"/>
      <c r="J36" s="1618"/>
    </row>
    <row r="37" spans="1:10" ht="12.75">
      <c r="A37" s="104"/>
      <c r="B37" s="1579"/>
      <c r="C37" s="1618"/>
      <c r="D37" s="1618"/>
      <c r="E37" s="1618"/>
      <c r="F37" s="1618"/>
      <c r="G37" s="1618"/>
      <c r="H37" s="1618"/>
      <c r="I37" s="1618"/>
      <c r="J37" s="1618"/>
    </row>
    <row r="38" spans="1:10" ht="12" customHeight="1">
      <c r="A38" s="104"/>
      <c r="B38" s="1579"/>
      <c r="C38" s="1618"/>
      <c r="D38" s="1618"/>
      <c r="E38" s="1618"/>
      <c r="F38" s="1618"/>
      <c r="G38" s="1618"/>
      <c r="H38" s="1618"/>
      <c r="I38" s="1618"/>
      <c r="J38" s="1618"/>
    </row>
    <row r="39" spans="1:10" ht="12" customHeight="1">
      <c r="A39" s="104"/>
      <c r="B39" s="1579"/>
      <c r="C39" s="1618"/>
      <c r="D39" s="1618"/>
      <c r="E39" s="1618"/>
      <c r="F39" s="1618"/>
      <c r="G39" s="1618"/>
      <c r="H39" s="1618"/>
      <c r="I39" s="1618"/>
      <c r="J39" s="1618"/>
    </row>
    <row r="40" spans="1:10" ht="15">
      <c r="A40" s="1569" t="s">
        <v>361</v>
      </c>
      <c r="B40" s="1570"/>
      <c r="C40" s="1621">
        <f>+C41+C42+C43</f>
        <v>80</v>
      </c>
      <c r="D40" s="1621">
        <f>+D41+D42+D43</f>
        <v>201736.16279069768</v>
      </c>
      <c r="E40" s="1618"/>
      <c r="F40" s="1618">
        <v>36</v>
      </c>
      <c r="G40" s="1621">
        <f>+G41+G42+G43</f>
        <v>71</v>
      </c>
      <c r="H40" s="1621">
        <f>+H41+H42+H43</f>
        <v>74910</v>
      </c>
      <c r="I40" s="1618"/>
      <c r="J40" s="1618"/>
    </row>
    <row r="41" spans="1:10" ht="12" customHeight="1">
      <c r="A41" s="1588" t="s">
        <v>6997</v>
      </c>
      <c r="B41" s="1588" t="s">
        <v>6998</v>
      </c>
      <c r="C41" s="1623">
        <v>37</v>
      </c>
      <c r="D41" s="1623">
        <v>54945</v>
      </c>
      <c r="E41" s="1623">
        <v>1485</v>
      </c>
      <c r="F41" s="1618"/>
      <c r="G41" s="1623">
        <v>54</v>
      </c>
      <c r="H41" s="1623">
        <v>50490</v>
      </c>
      <c r="I41" s="1623">
        <f>+H41/G41</f>
        <v>935</v>
      </c>
      <c r="J41" s="1618"/>
    </row>
    <row r="42" spans="1:10" ht="25.5">
      <c r="A42" s="1589" t="s">
        <v>6999</v>
      </c>
      <c r="B42" s="1590" t="s">
        <v>7000</v>
      </c>
      <c r="C42" s="1623">
        <v>42</v>
      </c>
      <c r="D42" s="1623">
        <v>145691.16279069768</v>
      </c>
      <c r="E42" s="1623">
        <v>3468.8372093023254</v>
      </c>
      <c r="F42" s="1618"/>
      <c r="G42" s="1623">
        <v>7</v>
      </c>
      <c r="H42" s="1623">
        <v>13420</v>
      </c>
      <c r="I42" s="1623">
        <f>+H42/G42</f>
        <v>1917.1428571428571</v>
      </c>
      <c r="J42" s="1618"/>
    </row>
    <row r="43" spans="1:10" ht="12.75">
      <c r="A43" s="1591" t="s">
        <v>6978</v>
      </c>
      <c r="B43" s="1592" t="s">
        <v>6979</v>
      </c>
      <c r="C43" s="1623">
        <v>1</v>
      </c>
      <c r="D43" s="1623">
        <v>1100</v>
      </c>
      <c r="E43" s="1623">
        <v>1100</v>
      </c>
      <c r="F43" s="1618"/>
      <c r="G43" s="1623">
        <v>10</v>
      </c>
      <c r="H43" s="1623">
        <v>11000</v>
      </c>
      <c r="I43" s="1623">
        <f>+H43/G43</f>
        <v>1100</v>
      </c>
      <c r="J43" s="1618"/>
    </row>
    <row r="44" spans="1:10" ht="12.75">
      <c r="A44" s="104"/>
      <c r="B44" s="1579"/>
      <c r="C44" s="1618"/>
      <c r="D44" s="1618"/>
      <c r="E44" s="1618"/>
      <c r="F44" s="1618"/>
      <c r="G44" s="1618"/>
      <c r="H44" s="1618"/>
      <c r="I44" s="1618"/>
      <c r="J44" s="1618"/>
    </row>
    <row r="45" spans="1:10" ht="12.75">
      <c r="A45" s="104"/>
      <c r="B45" s="1579"/>
      <c r="C45" s="1618"/>
      <c r="D45" s="1618"/>
      <c r="E45" s="1618"/>
      <c r="F45" s="1618"/>
      <c r="G45" s="1618"/>
      <c r="H45" s="1618"/>
      <c r="I45" s="1618"/>
      <c r="J45" s="1618"/>
    </row>
    <row r="46" spans="1:10" ht="12.75">
      <c r="A46" s="104"/>
      <c r="B46" s="1579"/>
      <c r="C46" s="1618"/>
      <c r="D46" s="1618"/>
      <c r="E46" s="1618"/>
      <c r="F46" s="1618"/>
      <c r="G46" s="1618"/>
      <c r="H46" s="1618"/>
      <c r="I46" s="1618"/>
      <c r="J46" s="1618"/>
    </row>
    <row r="47" spans="1:10" ht="12.75">
      <c r="A47" s="104"/>
      <c r="B47" s="1579"/>
      <c r="C47" s="1618"/>
      <c r="D47" s="1618"/>
      <c r="E47" s="1618"/>
      <c r="F47" s="1618"/>
      <c r="G47" s="1618"/>
      <c r="H47" s="1618"/>
      <c r="I47" s="1618"/>
      <c r="J47" s="1618"/>
    </row>
    <row r="48" spans="1:10" ht="12.75">
      <c r="A48" s="104"/>
      <c r="B48" s="1579"/>
      <c r="C48" s="1618"/>
      <c r="D48" s="1618"/>
      <c r="E48" s="1618"/>
      <c r="F48" s="1618"/>
      <c r="G48" s="1618"/>
      <c r="H48" s="1618"/>
      <c r="I48" s="1618"/>
      <c r="J48" s="1618"/>
    </row>
    <row r="49" spans="1:10" ht="12.75">
      <c r="A49" s="104" t="s">
        <v>362</v>
      </c>
      <c r="B49" s="1579"/>
      <c r="C49" s="1618"/>
      <c r="D49" s="1618"/>
      <c r="E49" s="1618"/>
      <c r="F49" s="1618"/>
      <c r="G49" s="1618"/>
      <c r="H49" s="1618"/>
      <c r="I49" s="1618"/>
      <c r="J49" s="1618"/>
    </row>
    <row r="50" spans="1:10" ht="12.75">
      <c r="A50" s="104"/>
      <c r="B50" s="1579"/>
      <c r="C50" s="1618"/>
      <c r="D50" s="1618"/>
      <c r="E50" s="1618"/>
      <c r="F50" s="1618"/>
      <c r="G50" s="1618"/>
      <c r="H50" s="1618"/>
      <c r="I50" s="1618"/>
      <c r="J50" s="1618"/>
    </row>
    <row r="51" spans="1:10" ht="12.75">
      <c r="A51" s="104"/>
      <c r="B51" s="1579"/>
      <c r="C51" s="1618"/>
      <c r="D51" s="1618"/>
      <c r="E51" s="1618"/>
      <c r="F51" s="1618"/>
      <c r="G51" s="1618"/>
      <c r="H51" s="1618"/>
      <c r="I51" s="1618"/>
      <c r="J51" s="1618"/>
    </row>
    <row r="52" spans="1:10" ht="12.75">
      <c r="A52" s="104" t="s">
        <v>363</v>
      </c>
      <c r="B52" s="1579"/>
      <c r="C52" s="1618"/>
      <c r="D52" s="1618"/>
      <c r="E52" s="1618"/>
      <c r="F52" s="1618"/>
      <c r="G52" s="1618"/>
      <c r="H52" s="1618"/>
      <c r="I52" s="1618"/>
      <c r="J52" s="1618"/>
    </row>
    <row r="53" spans="1:10" ht="12.75">
      <c r="A53" s="104"/>
      <c r="B53" s="1579"/>
      <c r="C53" s="1618"/>
      <c r="D53" s="1618"/>
      <c r="E53" s="1618"/>
      <c r="F53" s="1618"/>
      <c r="G53" s="1618"/>
      <c r="H53" s="1618"/>
      <c r="I53" s="1618"/>
      <c r="J53" s="1618"/>
    </row>
    <row r="54" spans="1:10" ht="12.75">
      <c r="A54" s="104"/>
      <c r="B54" s="1579"/>
      <c r="C54" s="1618"/>
      <c r="D54" s="1618"/>
      <c r="E54" s="1618"/>
      <c r="F54" s="1618"/>
      <c r="G54" s="1618"/>
      <c r="H54" s="1618"/>
      <c r="I54" s="1618"/>
      <c r="J54" s="1618"/>
    </row>
    <row r="55" spans="1:10" ht="12.75">
      <c r="A55" s="149" t="s">
        <v>364</v>
      </c>
      <c r="B55" s="104"/>
      <c r="C55" s="1618"/>
      <c r="D55" s="1618"/>
      <c r="E55" s="1618"/>
      <c r="F55" s="1618"/>
      <c r="G55" s="1618"/>
      <c r="H55" s="1618"/>
      <c r="I55" s="1618"/>
      <c r="J55" s="1618"/>
    </row>
    <row r="56" spans="1:10" ht="12.75">
      <c r="A56" s="104"/>
      <c r="B56" s="104"/>
      <c r="C56" s="1618"/>
      <c r="D56" s="1618"/>
      <c r="E56" s="1618"/>
      <c r="F56" s="1618"/>
      <c r="G56" s="1618"/>
      <c r="H56" s="1618"/>
      <c r="I56" s="1618"/>
      <c r="J56" s="1618"/>
    </row>
    <row r="57" spans="1:10" ht="12.75">
      <c r="A57" s="104"/>
      <c r="B57" s="104"/>
      <c r="C57" s="1618"/>
      <c r="D57" s="1618"/>
      <c r="E57" s="1618"/>
      <c r="F57" s="1618"/>
      <c r="G57" s="1618"/>
      <c r="H57" s="1618"/>
      <c r="I57" s="1618"/>
      <c r="J57" s="1618"/>
    </row>
    <row r="58" spans="1:10" ht="18.75">
      <c r="A58" s="1593">
        <v>9</v>
      </c>
      <c r="B58" s="1582" t="s">
        <v>7001</v>
      </c>
      <c r="C58" s="1618"/>
      <c r="D58" s="1618"/>
      <c r="E58" s="1618"/>
      <c r="F58" s="1618"/>
      <c r="G58" s="1618"/>
      <c r="H58" s="1618"/>
      <c r="I58" s="1618"/>
      <c r="J58" s="1618"/>
    </row>
    <row r="59" spans="1:10" ht="27">
      <c r="A59" s="1594" t="s">
        <v>7002</v>
      </c>
      <c r="B59" s="1595" t="s">
        <v>7003</v>
      </c>
      <c r="C59" s="1621">
        <f>+C60+C61+C62+C63+C64+C65+C66+C67+C68+C69+C70+C73+C74+C75+C76</f>
        <v>1478</v>
      </c>
      <c r="D59" s="1621">
        <f>+D60+D61+D62+D63+D64+D65+D66+D67+D68+D69+D70+D73+D74+D75+D76</f>
        <v>36566000</v>
      </c>
      <c r="E59" s="1621"/>
      <c r="F59" s="1621">
        <v>117</v>
      </c>
      <c r="G59" s="1621">
        <f t="shared" ref="G59:H59" si="1">+G60+G61+G62+G63+G64+G65+G66+G67+G68+G69+G70+G73+G74+G75+G76</f>
        <v>711</v>
      </c>
      <c r="H59" s="1621">
        <f t="shared" si="1"/>
        <v>17124115</v>
      </c>
      <c r="I59" s="1623"/>
      <c r="J59" s="1618">
        <v>160</v>
      </c>
    </row>
    <row r="60" spans="1:10" ht="13.5" thickBot="1">
      <c r="A60" s="1596" t="s">
        <v>7004</v>
      </c>
      <c r="B60" s="1578" t="s">
        <v>7005</v>
      </c>
      <c r="C60" s="1623">
        <v>1</v>
      </c>
      <c r="D60" s="1623">
        <v>19800</v>
      </c>
      <c r="E60" s="1623">
        <v>19800</v>
      </c>
      <c r="F60" s="1618"/>
      <c r="G60" s="1623"/>
      <c r="H60" s="1623"/>
      <c r="I60" s="1623"/>
      <c r="J60" s="1618"/>
    </row>
    <row r="61" spans="1:10" ht="26.25" thickBot="1">
      <c r="A61" s="1596" t="s">
        <v>7006</v>
      </c>
      <c r="B61" s="1578" t="s">
        <v>7007</v>
      </c>
      <c r="C61" s="1623">
        <v>273</v>
      </c>
      <c r="D61" s="1623">
        <v>1403493</v>
      </c>
      <c r="E61" s="1623">
        <v>5141</v>
      </c>
      <c r="F61" s="1618"/>
      <c r="G61" s="1623">
        <v>138</v>
      </c>
      <c r="H61" s="1623">
        <v>619680</v>
      </c>
      <c r="I61" s="1623">
        <f>+H61/G61</f>
        <v>4490.434782608696</v>
      </c>
      <c r="J61" s="1618"/>
    </row>
    <row r="62" spans="1:10" ht="12.75">
      <c r="A62" s="1597" t="s">
        <v>7008</v>
      </c>
      <c r="B62" s="1574" t="s">
        <v>7009</v>
      </c>
      <c r="C62" s="1623">
        <v>320</v>
      </c>
      <c r="D62" s="1623">
        <v>7970723</v>
      </c>
      <c r="E62" s="1623">
        <v>24908.509375000001</v>
      </c>
      <c r="F62" s="1618"/>
      <c r="G62" s="1623">
        <v>138</v>
      </c>
      <c r="H62" s="1623">
        <f>3124275-13576</f>
        <v>3110699</v>
      </c>
      <c r="I62" s="1623">
        <f t="shared" ref="I62:I70" si="2">+H62/G62</f>
        <v>22541.297101449276</v>
      </c>
      <c r="J62" s="1618"/>
    </row>
    <row r="63" spans="1:10" ht="12.75">
      <c r="A63" s="1598" t="s">
        <v>7010</v>
      </c>
      <c r="B63" s="1576" t="s">
        <v>7011</v>
      </c>
      <c r="C63" s="1623">
        <v>160</v>
      </c>
      <c r="D63" s="1623">
        <v>2814240</v>
      </c>
      <c r="E63" s="1623">
        <v>17589</v>
      </c>
      <c r="F63" s="1618"/>
      <c r="G63" s="1623">
        <v>66</v>
      </c>
      <c r="H63" s="1623">
        <v>1161600</v>
      </c>
      <c r="I63" s="1623">
        <f t="shared" si="2"/>
        <v>17600</v>
      </c>
      <c r="J63" s="1618"/>
    </row>
    <row r="64" spans="1:10" ht="12.75">
      <c r="A64" s="1598" t="s">
        <v>7012</v>
      </c>
      <c r="B64" s="1576" t="s">
        <v>7013</v>
      </c>
      <c r="C64" s="1623">
        <v>124</v>
      </c>
      <c r="D64" s="1623">
        <v>4263120</v>
      </c>
      <c r="E64" s="1623">
        <v>34380</v>
      </c>
      <c r="F64" s="1618"/>
      <c r="G64" s="1623">
        <v>58</v>
      </c>
      <c r="H64" s="1623">
        <v>2242106</v>
      </c>
      <c r="I64" s="1623">
        <f t="shared" si="2"/>
        <v>38657</v>
      </c>
      <c r="J64" s="1618"/>
    </row>
    <row r="65" spans="1:10" ht="13.5" thickBot="1">
      <c r="A65" s="1596" t="s">
        <v>7014</v>
      </c>
      <c r="B65" s="1578" t="s">
        <v>7015</v>
      </c>
      <c r="C65" s="1623">
        <v>124</v>
      </c>
      <c r="D65" s="1623">
        <v>2357860</v>
      </c>
      <c r="E65" s="1623">
        <v>19015</v>
      </c>
      <c r="F65" s="1618"/>
      <c r="G65" s="1623">
        <v>58</v>
      </c>
      <c r="H65" s="1623">
        <v>1354590</v>
      </c>
      <c r="I65" s="1623">
        <f t="shared" si="2"/>
        <v>23355</v>
      </c>
      <c r="J65" s="1618"/>
    </row>
    <row r="66" spans="1:10" ht="12.75">
      <c r="A66" s="1597" t="s">
        <v>7016</v>
      </c>
      <c r="B66" s="1574" t="s">
        <v>7017</v>
      </c>
      <c r="C66" s="1623">
        <v>119</v>
      </c>
      <c r="D66" s="1623">
        <v>307734</v>
      </c>
      <c r="E66" s="1623">
        <v>2586</v>
      </c>
      <c r="F66" s="1618"/>
      <c r="G66" s="1623">
        <v>75</v>
      </c>
      <c r="H66" s="1623">
        <v>61600</v>
      </c>
      <c r="I66" s="1623">
        <f t="shared" si="2"/>
        <v>821.33333333333337</v>
      </c>
      <c r="J66" s="1618"/>
    </row>
    <row r="67" spans="1:10" ht="12.75">
      <c r="A67" s="1598" t="s">
        <v>7018</v>
      </c>
      <c r="B67" s="1576" t="s">
        <v>7019</v>
      </c>
      <c r="C67" s="1623"/>
      <c r="D67" s="1623"/>
      <c r="E67" s="1623"/>
      <c r="F67" s="1618"/>
      <c r="G67" s="1623"/>
      <c r="H67" s="1623"/>
      <c r="I67" s="1623"/>
      <c r="J67" s="1618"/>
    </row>
    <row r="68" spans="1:10" ht="12.75">
      <c r="A68" s="1598" t="s">
        <v>7020</v>
      </c>
      <c r="B68" s="1576" t="s">
        <v>7021</v>
      </c>
      <c r="C68" s="1623">
        <v>75</v>
      </c>
      <c r="D68" s="1623">
        <v>6504825</v>
      </c>
      <c r="E68" s="1623">
        <v>86731</v>
      </c>
      <c r="F68" s="1618"/>
      <c r="G68" s="1623">
        <v>32</v>
      </c>
      <c r="H68" s="1623">
        <v>2464000</v>
      </c>
      <c r="I68" s="1623">
        <f t="shared" si="2"/>
        <v>77000</v>
      </c>
      <c r="J68" s="1618"/>
    </row>
    <row r="69" spans="1:10" ht="13.5" thickBot="1">
      <c r="A69" s="1596" t="s">
        <v>7022</v>
      </c>
      <c r="B69" s="1578" t="s">
        <v>7023</v>
      </c>
      <c r="C69" s="1623">
        <v>35</v>
      </c>
      <c r="D69" s="1623">
        <v>789355</v>
      </c>
      <c r="E69" s="1623">
        <v>22553</v>
      </c>
      <c r="F69" s="1618"/>
      <c r="G69" s="1623">
        <v>10</v>
      </c>
      <c r="H69" s="1623">
        <v>305800</v>
      </c>
      <c r="I69" s="1623">
        <f t="shared" si="2"/>
        <v>30580</v>
      </c>
      <c r="J69" s="1618"/>
    </row>
    <row r="70" spans="1:10" ht="12.75">
      <c r="A70" s="1597" t="s">
        <v>7024</v>
      </c>
      <c r="B70" s="1574" t="s">
        <v>7025</v>
      </c>
      <c r="C70" s="1623">
        <v>115</v>
      </c>
      <c r="D70" s="1623">
        <v>3504050</v>
      </c>
      <c r="E70" s="1623">
        <v>30470</v>
      </c>
      <c r="F70" s="1618"/>
      <c r="G70" s="1623">
        <v>52</v>
      </c>
      <c r="H70" s="1623">
        <v>1584440</v>
      </c>
      <c r="I70" s="1623">
        <f t="shared" si="2"/>
        <v>30470</v>
      </c>
      <c r="J70" s="1618"/>
    </row>
    <row r="71" spans="1:10" ht="12.75">
      <c r="A71" s="770"/>
      <c r="B71" s="1582"/>
      <c r="C71" s="1618"/>
      <c r="D71" s="1618"/>
      <c r="E71" s="1618"/>
      <c r="F71" s="1618"/>
      <c r="G71" s="1618"/>
      <c r="H71" s="1618"/>
      <c r="I71" s="1618"/>
      <c r="J71" s="1618"/>
    </row>
    <row r="72" spans="1:10" ht="30">
      <c r="A72" s="1599" t="s">
        <v>7026</v>
      </c>
      <c r="B72" s="1600" t="s">
        <v>7027</v>
      </c>
      <c r="C72" s="1618"/>
      <c r="D72" s="1621">
        <f>+D73+D74+D75+D76</f>
        <v>6630800</v>
      </c>
      <c r="E72" s="1618"/>
      <c r="F72" s="1618">
        <v>28</v>
      </c>
      <c r="G72" s="1623"/>
      <c r="H72" s="1621">
        <f>+H73+H74+H75+H76</f>
        <v>4219600</v>
      </c>
      <c r="I72" s="1618"/>
      <c r="J72" s="1618">
        <v>80</v>
      </c>
    </row>
    <row r="73" spans="1:10" ht="26.25" thickBot="1">
      <c r="A73" s="1596" t="s">
        <v>7006</v>
      </c>
      <c r="B73" s="1578" t="s">
        <v>7007</v>
      </c>
      <c r="C73" s="1623"/>
      <c r="D73" s="1623"/>
      <c r="E73" s="1623"/>
      <c r="F73" s="1618"/>
      <c r="G73" s="1623"/>
      <c r="H73" s="1623"/>
      <c r="I73" s="1618"/>
      <c r="J73" s="1618"/>
    </row>
    <row r="74" spans="1:10" ht="12.75">
      <c r="A74" s="1598" t="s">
        <v>7028</v>
      </c>
      <c r="B74" s="1576" t="s">
        <v>7029</v>
      </c>
      <c r="C74" s="1623">
        <v>44</v>
      </c>
      <c r="D74" s="1623">
        <v>2855600</v>
      </c>
      <c r="E74" s="1623">
        <v>64900</v>
      </c>
      <c r="F74" s="1618"/>
      <c r="G74" s="1623">
        <v>28</v>
      </c>
      <c r="H74" s="1623">
        <v>1817200</v>
      </c>
      <c r="I74" s="1624">
        <f>+H74/G74</f>
        <v>64900</v>
      </c>
      <c r="J74" s="1618"/>
    </row>
    <row r="75" spans="1:10" ht="12.75">
      <c r="A75" s="1598" t="s">
        <v>7030</v>
      </c>
      <c r="B75" s="1576" t="s">
        <v>7031</v>
      </c>
      <c r="C75" s="1623">
        <v>44</v>
      </c>
      <c r="D75" s="1623">
        <v>3000800</v>
      </c>
      <c r="E75" s="1623">
        <v>68200</v>
      </c>
      <c r="F75" s="1618"/>
      <c r="G75" s="1623">
        <v>28</v>
      </c>
      <c r="H75" s="1623">
        <v>1909600</v>
      </c>
      <c r="I75" s="1624">
        <f t="shared" ref="I75:I76" si="3">+H75/G75</f>
        <v>68200</v>
      </c>
      <c r="J75" s="1618"/>
    </row>
    <row r="76" spans="1:10" ht="12.75">
      <c r="A76" s="1597" t="s">
        <v>7032</v>
      </c>
      <c r="B76" s="1574" t="s">
        <v>7033</v>
      </c>
      <c r="C76" s="1623">
        <v>44</v>
      </c>
      <c r="D76" s="1623">
        <v>774400</v>
      </c>
      <c r="E76" s="1623">
        <v>17600</v>
      </c>
      <c r="F76" s="1618"/>
      <c r="G76" s="1623">
        <v>28</v>
      </c>
      <c r="H76" s="1623">
        <v>492800</v>
      </c>
      <c r="I76" s="1624">
        <f t="shared" si="3"/>
        <v>17600</v>
      </c>
      <c r="J76" s="1618"/>
    </row>
    <row r="77" spans="1:10" ht="12.75">
      <c r="A77" s="770"/>
      <c r="B77" s="770"/>
      <c r="C77" s="1618"/>
      <c r="D77" s="1618"/>
      <c r="E77" s="1618"/>
      <c r="F77" s="1618"/>
      <c r="G77" s="1618"/>
      <c r="H77" s="1618"/>
      <c r="I77" s="1618"/>
      <c r="J77" s="1618"/>
    </row>
    <row r="78" spans="1:10" ht="12.75">
      <c r="A78" s="770"/>
      <c r="B78" s="770"/>
      <c r="C78" s="1618"/>
      <c r="D78" s="1618"/>
      <c r="E78" s="1618"/>
      <c r="F78" s="1618"/>
      <c r="G78" s="1618"/>
      <c r="H78" s="1618"/>
      <c r="I78" s="1618"/>
      <c r="J78" s="1618"/>
    </row>
    <row r="79" spans="1:10" ht="27">
      <c r="A79" s="1601" t="s">
        <v>7034</v>
      </c>
      <c r="B79" s="1602" t="s">
        <v>7035</v>
      </c>
      <c r="C79" s="1621">
        <f>+C80+C81+C82+C83+C84+C85+C86+C87+C88+C89+C90</f>
        <v>801</v>
      </c>
      <c r="D79" s="1621">
        <f>+D80+D81+D82+D83+D84+D85+D86+D87+D88+D89+D90</f>
        <v>2896000</v>
      </c>
      <c r="E79" s="1618"/>
      <c r="F79" s="1618">
        <v>54</v>
      </c>
      <c r="G79" s="1621">
        <f>+G80+G81+G82+G83+G84+G85+G86+G87+G88+G89+G90</f>
        <v>257</v>
      </c>
      <c r="H79" s="1621">
        <f>+H80+H81+H82+H83+H84+H85+H86+H87+H88+H89+H90</f>
        <v>1183993.92</v>
      </c>
      <c r="I79" s="1618"/>
      <c r="J79" s="1618">
        <v>175</v>
      </c>
    </row>
    <row r="80" spans="1:10" ht="13.5" thickBot="1">
      <c r="A80" s="1596" t="s">
        <v>7036</v>
      </c>
      <c r="B80" s="1603" t="s">
        <v>7037</v>
      </c>
      <c r="C80" s="1623">
        <v>150</v>
      </c>
      <c r="D80" s="1623">
        <v>38100</v>
      </c>
      <c r="E80" s="1623">
        <v>254</v>
      </c>
      <c r="F80" s="1618"/>
      <c r="G80" s="1623">
        <v>22</v>
      </c>
      <c r="H80" s="1623">
        <v>8206</v>
      </c>
      <c r="I80" s="1623">
        <f>+H80/G80</f>
        <v>373</v>
      </c>
      <c r="J80" s="1618"/>
    </row>
    <row r="81" spans="1:10" ht="13.5" thickBot="1">
      <c r="A81" s="1596" t="s">
        <v>7038</v>
      </c>
      <c r="B81" s="1603" t="s">
        <v>7039</v>
      </c>
      <c r="C81" s="1623"/>
      <c r="D81" s="1623"/>
      <c r="E81" s="1623"/>
      <c r="F81" s="1618"/>
      <c r="G81" s="1623">
        <v>1</v>
      </c>
      <c r="H81" s="1623">
        <v>143000</v>
      </c>
      <c r="I81" s="1623">
        <f t="shared" ref="I81:I90" si="4">+H81/G81</f>
        <v>143000</v>
      </c>
      <c r="J81" s="1618"/>
    </row>
    <row r="82" spans="1:10" ht="23.25" thickBot="1">
      <c r="A82" s="1596" t="s">
        <v>7040</v>
      </c>
      <c r="B82" s="1603" t="s">
        <v>7041</v>
      </c>
      <c r="C82" s="1623">
        <v>95</v>
      </c>
      <c r="D82" s="1623">
        <v>2299000</v>
      </c>
      <c r="E82" s="1623">
        <v>24200</v>
      </c>
      <c r="F82" s="1618"/>
      <c r="G82" s="1623">
        <v>23</v>
      </c>
      <c r="H82" s="1623">
        <v>634172</v>
      </c>
      <c r="I82" s="1623">
        <f t="shared" si="4"/>
        <v>27572.695652173912</v>
      </c>
      <c r="J82" s="1618"/>
    </row>
    <row r="83" spans="1:10" ht="13.5" thickBot="1">
      <c r="A83" s="1596" t="s">
        <v>7042</v>
      </c>
      <c r="B83" s="1603" t="s">
        <v>7043</v>
      </c>
      <c r="C83" s="1623"/>
      <c r="D83" s="1623"/>
      <c r="E83" s="1623"/>
      <c r="F83" s="1618"/>
      <c r="G83" s="1623">
        <v>1</v>
      </c>
      <c r="H83" s="1623">
        <v>6600</v>
      </c>
      <c r="I83" s="1623">
        <f t="shared" si="4"/>
        <v>6600</v>
      </c>
      <c r="J83" s="1618"/>
    </row>
    <row r="84" spans="1:10" ht="13.5" thickBot="1">
      <c r="A84" s="1596" t="s">
        <v>7044</v>
      </c>
      <c r="B84" s="1603" t="s">
        <v>7045</v>
      </c>
      <c r="C84" s="1623"/>
      <c r="D84" s="1623"/>
      <c r="E84" s="1623"/>
      <c r="F84" s="1618"/>
      <c r="G84" s="1623"/>
      <c r="H84" s="1623"/>
      <c r="I84" s="1623"/>
      <c r="J84" s="1618"/>
    </row>
    <row r="85" spans="1:10" ht="13.5" thickBot="1">
      <c r="A85" s="1596" t="s">
        <v>7046</v>
      </c>
      <c r="B85" s="1603" t="s">
        <v>7047</v>
      </c>
      <c r="C85" s="1623">
        <v>8</v>
      </c>
      <c r="D85" s="1623">
        <v>96336</v>
      </c>
      <c r="E85" s="1623">
        <v>12042</v>
      </c>
      <c r="F85" s="1618"/>
      <c r="G85" s="1623"/>
      <c r="H85" s="1623"/>
      <c r="I85" s="1623"/>
      <c r="J85" s="1618"/>
    </row>
    <row r="86" spans="1:10" ht="13.5" thickBot="1">
      <c r="A86" s="1596" t="s">
        <v>7048</v>
      </c>
      <c r="B86" s="1603" t="s">
        <v>7049</v>
      </c>
      <c r="C86" s="1623">
        <v>10</v>
      </c>
      <c r="D86" s="1623">
        <v>18700</v>
      </c>
      <c r="E86" s="1623">
        <v>1870</v>
      </c>
      <c r="F86" s="1618"/>
      <c r="G86" s="1623">
        <v>9</v>
      </c>
      <c r="H86" s="1623">
        <v>9532.08</v>
      </c>
      <c r="I86" s="1623">
        <f t="shared" si="4"/>
        <v>1059.1199999999999</v>
      </c>
      <c r="J86" s="1618"/>
    </row>
    <row r="87" spans="1:10" ht="13.5" thickBot="1">
      <c r="A87" s="1596" t="s">
        <v>7050</v>
      </c>
      <c r="B87" s="1603" t="s">
        <v>7051</v>
      </c>
      <c r="C87" s="1623"/>
      <c r="D87" s="1623"/>
      <c r="E87" s="1623"/>
      <c r="F87" s="1618"/>
      <c r="G87" s="1623"/>
      <c r="H87" s="1623"/>
      <c r="I87" s="1623"/>
      <c r="J87" s="1618"/>
    </row>
    <row r="88" spans="1:10" ht="13.5" thickBot="1">
      <c r="A88" s="1596" t="s">
        <v>7052</v>
      </c>
      <c r="B88" s="1603" t="s">
        <v>7053</v>
      </c>
      <c r="C88" s="1623">
        <v>32</v>
      </c>
      <c r="D88" s="1623">
        <v>111040</v>
      </c>
      <c r="E88" s="1623">
        <v>3470</v>
      </c>
      <c r="F88" s="1618"/>
      <c r="G88" s="1623">
        <v>2</v>
      </c>
      <c r="H88" s="1623">
        <v>1696.84</v>
      </c>
      <c r="I88" s="1623">
        <f t="shared" si="4"/>
        <v>848.42</v>
      </c>
      <c r="J88" s="1618"/>
    </row>
    <row r="89" spans="1:10" ht="13.5" thickBot="1">
      <c r="A89" s="1596" t="s">
        <v>7054</v>
      </c>
      <c r="B89" s="1603" t="s">
        <v>7055</v>
      </c>
      <c r="C89" s="1623">
        <v>501</v>
      </c>
      <c r="D89" s="1623">
        <v>146009</v>
      </c>
      <c r="E89" s="1623">
        <v>291.43512974051896</v>
      </c>
      <c r="F89" s="1618"/>
      <c r="G89" s="1623">
        <v>196</v>
      </c>
      <c r="H89" s="1623">
        <v>56397</v>
      </c>
      <c r="I89" s="1623">
        <f t="shared" si="4"/>
        <v>287.73979591836735</v>
      </c>
      <c r="J89" s="1618"/>
    </row>
    <row r="90" spans="1:10" ht="13.5" thickBot="1">
      <c r="A90" s="1596" t="s">
        <v>7056</v>
      </c>
      <c r="B90" s="1603" t="s">
        <v>7057</v>
      </c>
      <c r="C90" s="1623">
        <v>5</v>
      </c>
      <c r="D90" s="1623">
        <v>186815</v>
      </c>
      <c r="E90" s="1623">
        <v>37363</v>
      </c>
      <c r="F90" s="1618"/>
      <c r="G90" s="1623">
        <v>3</v>
      </c>
      <c r="H90" s="1623">
        <v>324390</v>
      </c>
      <c r="I90" s="1623">
        <f t="shared" si="4"/>
        <v>108130</v>
      </c>
      <c r="J90" s="1618"/>
    </row>
    <row r="91" spans="1:10" ht="12.75">
      <c r="A91" s="149"/>
      <c r="B91" s="104"/>
      <c r="C91" s="1618"/>
      <c r="D91" s="1618"/>
      <c r="E91" s="1618"/>
      <c r="F91" s="1618"/>
      <c r="G91" s="1618"/>
      <c r="H91" s="1618"/>
      <c r="I91" s="1618"/>
      <c r="J91" s="1618"/>
    </row>
    <row r="92" spans="1:10" ht="12.75">
      <c r="A92" s="149"/>
      <c r="B92" s="104"/>
      <c r="C92" s="1618"/>
      <c r="D92" s="1618"/>
      <c r="E92" s="1618"/>
      <c r="F92" s="1618"/>
      <c r="G92" s="1618"/>
      <c r="H92" s="1618"/>
      <c r="I92" s="1618"/>
      <c r="J92" s="1618"/>
    </row>
    <row r="93" spans="1:10" ht="12.75">
      <c r="A93" s="149"/>
      <c r="B93" s="104"/>
      <c r="C93" s="1618"/>
      <c r="D93" s="1618"/>
      <c r="E93" s="1618"/>
      <c r="F93" s="1618"/>
      <c r="G93" s="1618"/>
      <c r="H93" s="1618"/>
      <c r="I93" s="1618"/>
      <c r="J93" s="1618"/>
    </row>
    <row r="94" spans="1:10" ht="12.75">
      <c r="A94" s="149"/>
      <c r="B94" s="104"/>
      <c r="C94" s="1618"/>
      <c r="D94" s="1618"/>
      <c r="E94" s="1618"/>
      <c r="F94" s="1618"/>
      <c r="G94" s="1618"/>
      <c r="H94" s="1618"/>
      <c r="I94" s="1618"/>
      <c r="J94" s="1618"/>
    </row>
    <row r="95" spans="1:10" ht="12.75">
      <c r="A95" s="149"/>
      <c r="B95" s="104"/>
      <c r="C95" s="1618"/>
      <c r="D95" s="1618"/>
      <c r="E95" s="1618"/>
      <c r="F95" s="1618"/>
      <c r="G95" s="1618"/>
      <c r="H95" s="1618"/>
      <c r="I95" s="1618"/>
      <c r="J95" s="1618"/>
    </row>
    <row r="96" spans="1:10" ht="12.75">
      <c r="A96" s="149"/>
      <c r="B96" s="104"/>
      <c r="C96" s="1618"/>
      <c r="D96" s="1618"/>
      <c r="E96" s="1618"/>
      <c r="F96" s="1618"/>
      <c r="G96" s="1618"/>
      <c r="H96" s="1618"/>
      <c r="I96" s="1618"/>
      <c r="J96" s="1618"/>
    </row>
    <row r="97" spans="1:10" ht="12.75">
      <c r="A97" s="104"/>
      <c r="B97" s="104"/>
      <c r="C97" s="1618"/>
      <c r="D97" s="1618"/>
      <c r="E97" s="1618"/>
      <c r="F97" s="1618"/>
      <c r="G97" s="1618"/>
      <c r="H97" s="1618"/>
      <c r="I97" s="1618"/>
      <c r="J97" s="1618"/>
    </row>
    <row r="98" spans="1:10" ht="12.75">
      <c r="A98" s="104"/>
      <c r="B98" s="104"/>
      <c r="C98" s="1618"/>
      <c r="D98" s="1618"/>
      <c r="E98" s="1618"/>
      <c r="F98" s="1618"/>
      <c r="G98" s="1618"/>
      <c r="H98" s="1618"/>
      <c r="I98" s="1618"/>
      <c r="J98" s="1618"/>
    </row>
    <row r="99" spans="1:10" ht="15">
      <c r="A99" s="1604" t="s">
        <v>365</v>
      </c>
      <c r="B99" s="1569"/>
      <c r="C99" s="1621">
        <f>+C100+C101+C102+C103+C104+C105+C106+C107+C108+C109+C110+C111</f>
        <v>773</v>
      </c>
      <c r="D99" s="1621">
        <f>+D100+D101+D102+D103+D104+D105+D106+D107+D108+D109+D110+D111</f>
        <v>2607999.9981854558</v>
      </c>
      <c r="E99" s="1618"/>
      <c r="F99" s="1618">
        <v>449</v>
      </c>
      <c r="G99" s="1621">
        <f>+G100+G101+G102+G103+G104+G105+G106+G107+G108+G109+G110+G111+G112</f>
        <v>449</v>
      </c>
      <c r="H99" s="1621">
        <f>+H100+H101+H102+H103+H104+H105+H106+H107+H108+H109+H110+H111+H112</f>
        <v>1521070.1</v>
      </c>
      <c r="I99" s="1620"/>
      <c r="J99" s="1620">
        <v>700</v>
      </c>
    </row>
    <row r="100" spans="1:10" ht="51">
      <c r="A100" s="1598" t="s">
        <v>7058</v>
      </c>
      <c r="B100" s="1605" t="s">
        <v>7059</v>
      </c>
      <c r="C100" s="1623"/>
      <c r="D100" s="1623"/>
      <c r="E100" s="1623"/>
      <c r="F100" s="1618"/>
      <c r="G100" s="1618"/>
      <c r="H100" s="1618"/>
      <c r="I100" s="1618"/>
      <c r="J100" s="1618"/>
    </row>
    <row r="101" spans="1:10" ht="51">
      <c r="A101" s="1598" t="s">
        <v>7060</v>
      </c>
      <c r="B101" s="1605" t="s">
        <v>7061</v>
      </c>
      <c r="C101" s="1623"/>
      <c r="D101" s="1623"/>
      <c r="E101" s="1623"/>
      <c r="F101" s="1618"/>
      <c r="G101" s="1618"/>
      <c r="H101" s="1618"/>
      <c r="I101" s="1618"/>
      <c r="J101" s="1618"/>
    </row>
    <row r="102" spans="1:10" ht="51">
      <c r="A102" s="1598" t="s">
        <v>7062</v>
      </c>
      <c r="B102" s="1576" t="s">
        <v>7059</v>
      </c>
      <c r="C102" s="1623"/>
      <c r="D102" s="1623"/>
      <c r="E102" s="1623"/>
      <c r="F102" s="1618"/>
      <c r="G102" s="1618"/>
      <c r="H102" s="1618"/>
      <c r="I102" s="1618"/>
      <c r="J102" s="1618"/>
    </row>
    <row r="103" spans="1:10" ht="51">
      <c r="A103" s="1598" t="s">
        <v>7063</v>
      </c>
      <c r="B103" s="1576" t="s">
        <v>7061</v>
      </c>
      <c r="C103" s="1623"/>
      <c r="D103" s="1623"/>
      <c r="E103" s="1623"/>
      <c r="F103" s="1618"/>
      <c r="G103" s="1618"/>
      <c r="H103" s="1618"/>
      <c r="I103" s="1618"/>
      <c r="J103" s="1618"/>
    </row>
    <row r="104" spans="1:10" ht="51">
      <c r="A104" s="1598" t="s">
        <v>7064</v>
      </c>
      <c r="B104" s="1576" t="s">
        <v>7065</v>
      </c>
      <c r="C104" s="1623"/>
      <c r="D104" s="1623"/>
      <c r="E104" s="1623"/>
      <c r="F104" s="1618"/>
      <c r="G104" s="1618"/>
      <c r="H104" s="1618"/>
      <c r="I104" s="1618"/>
      <c r="J104" s="1618"/>
    </row>
    <row r="105" spans="1:10" ht="51">
      <c r="A105" s="1598" t="s">
        <v>7066</v>
      </c>
      <c r="B105" s="1576" t="s">
        <v>7067</v>
      </c>
      <c r="C105" s="1623"/>
      <c r="D105" s="1623"/>
      <c r="E105" s="1623"/>
      <c r="F105" s="1618"/>
      <c r="G105" s="1618"/>
      <c r="H105" s="1618"/>
      <c r="I105" s="1618"/>
      <c r="J105" s="1618"/>
    </row>
    <row r="106" spans="1:10" ht="51">
      <c r="A106" s="1598" t="s">
        <v>7068</v>
      </c>
      <c r="B106" s="1576" t="s">
        <v>7067</v>
      </c>
      <c r="C106" s="1623">
        <v>30</v>
      </c>
      <c r="D106" s="1623">
        <v>32203.285714285717</v>
      </c>
      <c r="E106" s="1623">
        <v>1073.4428571428573</v>
      </c>
      <c r="F106" s="1618"/>
      <c r="G106" s="1623">
        <v>5</v>
      </c>
      <c r="H106" s="1623">
        <v>5445</v>
      </c>
      <c r="I106" s="1623">
        <f>+H106/G106</f>
        <v>1089</v>
      </c>
      <c r="J106" s="1618"/>
    </row>
    <row r="107" spans="1:10" ht="51">
      <c r="A107" s="770" t="s">
        <v>7069</v>
      </c>
      <c r="B107" s="1606" t="s">
        <v>7070</v>
      </c>
      <c r="C107" s="1623">
        <v>23</v>
      </c>
      <c r="D107" s="1623">
        <v>433895</v>
      </c>
      <c r="E107" s="1623">
        <v>18865</v>
      </c>
      <c r="F107" s="1618"/>
      <c r="G107" s="1623"/>
      <c r="H107" s="1623"/>
      <c r="I107" s="1623"/>
      <c r="J107" s="1618"/>
    </row>
    <row r="108" spans="1:10" ht="51">
      <c r="A108" s="1598" t="s">
        <v>7071</v>
      </c>
      <c r="B108" s="1576" t="s">
        <v>7065</v>
      </c>
      <c r="C108" s="1623">
        <v>100</v>
      </c>
      <c r="D108" s="1623">
        <v>82710.638297872341</v>
      </c>
      <c r="E108" s="1623">
        <v>827.10638297872345</v>
      </c>
      <c r="F108" s="1618"/>
      <c r="G108" s="1623">
        <v>23</v>
      </c>
      <c r="H108" s="1623">
        <v>19228</v>
      </c>
      <c r="I108" s="1623">
        <f>+H108/G108</f>
        <v>836</v>
      </c>
      <c r="J108" s="1618"/>
    </row>
    <row r="109" spans="1:10" ht="51">
      <c r="A109" s="1598" t="s">
        <v>7072</v>
      </c>
      <c r="B109" s="1576" t="s">
        <v>7073</v>
      </c>
      <c r="C109" s="1623">
        <v>100</v>
      </c>
      <c r="D109" s="1623">
        <v>482558.11494252877</v>
      </c>
      <c r="E109" s="1623">
        <v>4825.5811494252875</v>
      </c>
      <c r="F109" s="1618"/>
      <c r="G109" s="1623">
        <v>16</v>
      </c>
      <c r="H109" s="1623">
        <v>77387.199999999997</v>
      </c>
      <c r="I109" s="1623">
        <f>+H109/G109</f>
        <v>4836.7</v>
      </c>
      <c r="J109" s="1618"/>
    </row>
    <row r="110" spans="1:10" ht="51">
      <c r="A110" s="1598" t="s">
        <v>7074</v>
      </c>
      <c r="B110" s="1576" t="s">
        <v>7075</v>
      </c>
      <c r="C110" s="1623">
        <v>120</v>
      </c>
      <c r="D110" s="1623">
        <v>268670.76923076925</v>
      </c>
      <c r="E110" s="1623">
        <v>2238.9230769230771</v>
      </c>
      <c r="F110" s="1618"/>
      <c r="G110" s="1623"/>
      <c r="H110" s="1623"/>
      <c r="I110" s="1623"/>
      <c r="J110" s="1618"/>
    </row>
    <row r="111" spans="1:10" ht="51">
      <c r="A111" s="1598" t="s">
        <v>7076</v>
      </c>
      <c r="B111" s="1576" t="s">
        <v>7061</v>
      </c>
      <c r="C111" s="1623">
        <v>400</v>
      </c>
      <c r="D111" s="1623">
        <v>1307962.19</v>
      </c>
      <c r="E111" s="1623">
        <v>3269.21875</v>
      </c>
      <c r="F111" s="1618"/>
      <c r="G111" s="1623">
        <v>147</v>
      </c>
      <c r="H111" s="1623">
        <v>483321.3</v>
      </c>
      <c r="I111" s="1623">
        <f>+H111/G111</f>
        <v>3287.9</v>
      </c>
      <c r="J111" s="1618"/>
    </row>
    <row r="112" spans="1:10" ht="63.75">
      <c r="A112" s="149" t="s">
        <v>7077</v>
      </c>
      <c r="B112" s="1586" t="s">
        <v>7078</v>
      </c>
      <c r="C112" s="1618"/>
      <c r="D112" s="1618"/>
      <c r="E112" s="1618"/>
      <c r="F112" s="1618"/>
      <c r="G112" s="1623">
        <v>258</v>
      </c>
      <c r="H112" s="1623">
        <v>935688.6</v>
      </c>
      <c r="I112" s="1623">
        <f>+H112/G112</f>
        <v>3626.7</v>
      </c>
      <c r="J112" s="1618"/>
    </row>
    <row r="113" spans="1:10" ht="12.75">
      <c r="A113" s="149"/>
      <c r="B113" s="104"/>
      <c r="C113" s="1618"/>
      <c r="D113" s="1618"/>
      <c r="E113" s="1618"/>
      <c r="F113" s="1618"/>
      <c r="G113" s="1618"/>
      <c r="H113" s="1618"/>
      <c r="I113" s="1618"/>
      <c r="J113" s="1618"/>
    </row>
    <row r="114" spans="1:10" ht="12.75">
      <c r="A114" s="149"/>
      <c r="B114" s="104"/>
      <c r="C114" s="1618"/>
      <c r="D114" s="1618"/>
      <c r="E114" s="1618"/>
      <c r="F114" s="1618"/>
      <c r="G114" s="1618"/>
      <c r="H114" s="1618"/>
      <c r="I114" s="1618"/>
      <c r="J114" s="1618"/>
    </row>
    <row r="115" spans="1:10" ht="12.75">
      <c r="A115" s="149"/>
      <c r="B115" s="104"/>
      <c r="C115" s="1618"/>
      <c r="D115" s="1618"/>
      <c r="E115" s="1618"/>
      <c r="F115" s="1618"/>
      <c r="G115" s="1618"/>
      <c r="H115" s="1618"/>
      <c r="I115" s="1618"/>
      <c r="J115" s="1618"/>
    </row>
    <row r="116" spans="1:10" ht="12.75">
      <c r="A116" s="149"/>
      <c r="B116" s="104"/>
      <c r="C116" s="1618"/>
      <c r="D116" s="1618"/>
      <c r="E116" s="1618"/>
      <c r="F116" s="1618"/>
      <c r="G116" s="1618"/>
      <c r="H116" s="1618"/>
      <c r="I116" s="1618"/>
      <c r="J116" s="1618"/>
    </row>
    <row r="117" spans="1:10" ht="12.75">
      <c r="A117" s="149"/>
      <c r="B117" s="104"/>
      <c r="C117" s="1618"/>
      <c r="D117" s="1618"/>
      <c r="E117" s="1618"/>
      <c r="F117" s="1618"/>
      <c r="G117" s="1618"/>
      <c r="H117" s="1618"/>
      <c r="I117" s="1618"/>
      <c r="J117" s="1618"/>
    </row>
    <row r="118" spans="1:10" ht="12.75">
      <c r="A118" s="104"/>
      <c r="B118" s="104"/>
      <c r="C118" s="1618"/>
      <c r="D118" s="1618"/>
      <c r="E118" s="1618"/>
      <c r="F118" s="1618"/>
      <c r="G118" s="1618"/>
      <c r="H118" s="1618"/>
      <c r="I118" s="1618"/>
      <c r="J118" s="1618"/>
    </row>
    <row r="119" spans="1:10" ht="12.75">
      <c r="A119" s="104"/>
      <c r="B119" s="1579"/>
      <c r="C119" s="1618"/>
      <c r="D119" s="1618"/>
      <c r="E119" s="1618"/>
      <c r="F119" s="1618"/>
      <c r="G119" s="1618"/>
      <c r="H119" s="1618"/>
      <c r="I119" s="1618"/>
      <c r="J119" s="1618"/>
    </row>
    <row r="120" spans="1:10" ht="12.75">
      <c r="A120" s="201" t="s">
        <v>1797</v>
      </c>
      <c r="B120" s="200"/>
      <c r="C120" s="1618"/>
      <c r="D120" s="1618"/>
      <c r="E120" s="1618"/>
      <c r="F120" s="1618"/>
      <c r="G120" s="1618"/>
      <c r="H120" s="1618"/>
      <c r="I120" s="1618"/>
      <c r="J120" s="1618"/>
    </row>
    <row r="121" spans="1:10" ht="12.75">
      <c r="A121" s="104"/>
      <c r="B121" s="104"/>
      <c r="C121" s="1618"/>
      <c r="D121" s="1618"/>
      <c r="E121" s="1618"/>
      <c r="F121" s="1618"/>
      <c r="G121" s="1618"/>
      <c r="H121" s="1618"/>
      <c r="I121" s="1618"/>
      <c r="J121" s="1618"/>
    </row>
    <row r="122" spans="1:10" ht="12.75">
      <c r="A122" s="104"/>
      <c r="B122" s="1579"/>
      <c r="C122" s="1618"/>
      <c r="D122" s="1618"/>
      <c r="E122" s="1618"/>
      <c r="F122" s="1618"/>
      <c r="G122" s="1618"/>
      <c r="H122" s="1618"/>
      <c r="I122" s="1618"/>
      <c r="J122" s="1618"/>
    </row>
    <row r="123" spans="1:10" ht="12.75">
      <c r="A123" s="149" t="s">
        <v>366</v>
      </c>
      <c r="B123" s="104"/>
      <c r="C123" s="1618"/>
      <c r="D123" s="1618"/>
      <c r="E123" s="1618"/>
      <c r="F123" s="1618"/>
      <c r="G123" s="1618"/>
      <c r="H123" s="1618"/>
      <c r="I123" s="1618"/>
      <c r="J123" s="1618"/>
    </row>
    <row r="124" spans="1:10" ht="12.75">
      <c r="A124" s="1607"/>
      <c r="B124" s="1608"/>
      <c r="C124" s="1618"/>
      <c r="D124" s="1618"/>
      <c r="E124" s="1618"/>
      <c r="F124" s="1618"/>
      <c r="G124" s="1618"/>
      <c r="H124" s="1618"/>
      <c r="I124" s="1618"/>
      <c r="J124" s="1618"/>
    </row>
    <row r="125" spans="1:10" ht="15">
      <c r="A125" s="1609">
        <v>13</v>
      </c>
      <c r="B125" s="1610" t="s">
        <v>7079</v>
      </c>
      <c r="C125" s="1618"/>
      <c r="D125" s="1621">
        <f>+D126+D127</f>
        <v>64000</v>
      </c>
      <c r="E125" s="1618"/>
      <c r="F125" s="1618"/>
      <c r="G125" s="1618"/>
      <c r="H125" s="1618"/>
      <c r="I125" s="1618"/>
      <c r="J125" s="1618"/>
    </row>
    <row r="126" spans="1:10" ht="12.75">
      <c r="A126" s="1611" t="s">
        <v>7080</v>
      </c>
      <c r="B126" s="1612" t="s">
        <v>7081</v>
      </c>
      <c r="C126" s="1618"/>
      <c r="D126" s="1618"/>
      <c r="E126" s="1618"/>
      <c r="F126" s="1618"/>
      <c r="G126" s="1618"/>
      <c r="H126" s="1618"/>
      <c r="I126" s="1618"/>
      <c r="J126" s="1618"/>
    </row>
    <row r="127" spans="1:10" ht="25.5">
      <c r="A127" s="1611" t="s">
        <v>7082</v>
      </c>
      <c r="B127" s="1613" t="s">
        <v>7083</v>
      </c>
      <c r="C127" s="1618">
        <v>25</v>
      </c>
      <c r="D127" s="1623">
        <v>64000</v>
      </c>
      <c r="E127" s="1618">
        <v>2508</v>
      </c>
      <c r="F127" s="1618"/>
      <c r="G127" s="1618"/>
      <c r="H127" s="1618"/>
      <c r="I127" s="1618"/>
      <c r="J127" s="1618"/>
    </row>
    <row r="128" spans="1:10" ht="12.75">
      <c r="A128" s="104"/>
      <c r="B128" s="104"/>
      <c r="C128" s="1618"/>
      <c r="D128" s="1618"/>
      <c r="E128" s="1618"/>
      <c r="F128" s="1618"/>
      <c r="G128" s="1618"/>
      <c r="H128" s="1618"/>
      <c r="I128" s="1618"/>
      <c r="J128" s="1618"/>
    </row>
    <row r="129" spans="1:10" ht="12.75">
      <c r="A129" s="121" t="s">
        <v>90</v>
      </c>
      <c r="B129" s="121"/>
      <c r="C129" s="1793"/>
      <c r="D129" s="1793">
        <v>49429000</v>
      </c>
      <c r="E129" s="1793"/>
      <c r="F129" s="1793"/>
      <c r="G129" s="1794"/>
      <c r="H129" s="1794">
        <v>23241045</v>
      </c>
      <c r="I129" s="1794"/>
      <c r="J129" s="1794"/>
    </row>
  </sheetData>
  <mergeCells count="9">
    <mergeCell ref="A6:A7"/>
    <mergeCell ref="B6:B7"/>
    <mergeCell ref="G6:J6"/>
    <mergeCell ref="C6:F6"/>
    <mergeCell ref="C1:J1"/>
    <mergeCell ref="C2:J2"/>
    <mergeCell ref="C3:J3"/>
    <mergeCell ref="C4:J4"/>
    <mergeCell ref="A5:J5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scale="81" fitToHeight="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SheetLayoutView="100" workbookViewId="0">
      <selection activeCell="T29" sqref="T29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0.140625" style="12" customWidth="1"/>
    <col min="5" max="5" width="9.140625" style="1561"/>
    <col min="6" max="16384" width="9.140625" style="12"/>
  </cols>
  <sheetData>
    <row r="1" spans="1:5" s="13" customFormat="1" ht="15.75">
      <c r="A1" s="110"/>
      <c r="B1" s="111" t="s">
        <v>208</v>
      </c>
      <c r="C1" s="1878" t="s">
        <v>1847</v>
      </c>
      <c r="D1" s="1879"/>
      <c r="E1" s="1879"/>
    </row>
    <row r="2" spans="1:5" s="13" customFormat="1" ht="15.75">
      <c r="A2" s="110"/>
      <c r="B2" s="111" t="s">
        <v>209</v>
      </c>
      <c r="C2" s="1878">
        <v>17878735</v>
      </c>
      <c r="D2" s="1879"/>
      <c r="E2" s="1879"/>
    </row>
    <row r="3" spans="1:5" s="13" customFormat="1" ht="15.75">
      <c r="A3" s="110"/>
      <c r="B3" s="111"/>
      <c r="C3" s="1878" t="s">
        <v>1853</v>
      </c>
      <c r="D3" s="1879"/>
      <c r="E3" s="1879"/>
    </row>
    <row r="4" spans="1:5" ht="32.25" customHeight="1">
      <c r="A4" s="110"/>
      <c r="B4" s="111" t="s">
        <v>210</v>
      </c>
      <c r="C4" s="2338" t="s">
        <v>328</v>
      </c>
      <c r="D4" s="2339"/>
      <c r="E4" s="2339"/>
    </row>
    <row r="5" spans="1:5" ht="15.75" customHeight="1">
      <c r="A5" s="48"/>
      <c r="B5" s="2340"/>
      <c r="C5" s="2340"/>
      <c r="D5" s="2340"/>
      <c r="E5" s="2340"/>
    </row>
    <row r="6" spans="1:5" ht="27" customHeight="1">
      <c r="A6" s="2321" t="s">
        <v>6</v>
      </c>
      <c r="B6" s="2330" t="s">
        <v>18</v>
      </c>
      <c r="C6" s="2341" t="s">
        <v>17</v>
      </c>
      <c r="D6" s="2342"/>
      <c r="E6" s="2343"/>
    </row>
    <row r="7" spans="1:5" ht="31.5" customHeight="1">
      <c r="A7" s="2321"/>
      <c r="B7" s="2330"/>
      <c r="C7" s="677" t="s">
        <v>368</v>
      </c>
      <c r="D7" s="677" t="s">
        <v>1813</v>
      </c>
      <c r="E7" s="1567" t="s">
        <v>6968</v>
      </c>
    </row>
    <row r="8" spans="1:5">
      <c r="A8" s="1565" t="s">
        <v>92</v>
      </c>
      <c r="B8" s="117" t="s">
        <v>103</v>
      </c>
      <c r="C8" s="118">
        <v>14930039</v>
      </c>
      <c r="D8" s="118">
        <v>8771996.3800000008</v>
      </c>
      <c r="E8" s="1562">
        <f>D8/C8*100</f>
        <v>58.754008479147316</v>
      </c>
    </row>
    <row r="9" spans="1:5">
      <c r="A9" s="1566" t="s">
        <v>93</v>
      </c>
      <c r="B9" s="117" t="s">
        <v>104</v>
      </c>
      <c r="C9" s="118">
        <v>81053</v>
      </c>
      <c r="D9" s="118">
        <v>69120</v>
      </c>
      <c r="E9" s="1562">
        <f t="shared" ref="E9:E15" si="0">D9/C9*100</f>
        <v>85.27753445276548</v>
      </c>
    </row>
    <row r="10" spans="1:5" ht="22.5">
      <c r="A10" s="1565" t="s">
        <v>94</v>
      </c>
      <c r="B10" s="117" t="s">
        <v>105</v>
      </c>
      <c r="C10" s="118">
        <v>47407474</v>
      </c>
      <c r="D10" s="118">
        <v>25814835</v>
      </c>
      <c r="E10" s="1562">
        <f t="shared" si="0"/>
        <v>54.453091088548611</v>
      </c>
    </row>
    <row r="11" spans="1:5">
      <c r="A11" s="1565" t="s">
        <v>95</v>
      </c>
      <c r="B11" s="119" t="s">
        <v>106</v>
      </c>
      <c r="C11" s="118">
        <v>42306908</v>
      </c>
      <c r="D11" s="118">
        <v>21937471</v>
      </c>
      <c r="E11" s="1562">
        <f t="shared" si="0"/>
        <v>51.853165445227056</v>
      </c>
    </row>
    <row r="12" spans="1:5" s="13" customFormat="1" ht="15.75">
      <c r="A12" s="1565" t="s">
        <v>96</v>
      </c>
      <c r="B12" s="117" t="s">
        <v>108</v>
      </c>
      <c r="C12" s="118">
        <v>5100366</v>
      </c>
      <c r="D12" s="118">
        <v>3877363</v>
      </c>
      <c r="E12" s="1562">
        <f t="shared" si="0"/>
        <v>76.021269846124767</v>
      </c>
    </row>
    <row r="13" spans="1:5" s="13" customFormat="1" ht="23.25">
      <c r="A13" s="89" t="s">
        <v>97</v>
      </c>
      <c r="B13" s="117" t="s">
        <v>107</v>
      </c>
      <c r="C13" s="120">
        <v>33379234</v>
      </c>
      <c r="D13" s="150">
        <v>17521505.739999998</v>
      </c>
      <c r="E13" s="1562">
        <f t="shared" si="0"/>
        <v>52.49223436343685</v>
      </c>
    </row>
    <row r="14" spans="1:5" s="13" customFormat="1" ht="23.25">
      <c r="A14" s="1565" t="s">
        <v>98</v>
      </c>
      <c r="B14" s="117" t="s">
        <v>109</v>
      </c>
      <c r="C14" s="118">
        <v>13434400</v>
      </c>
      <c r="D14" s="118">
        <v>7287465.9800000004</v>
      </c>
      <c r="E14" s="1562">
        <f t="shared" si="0"/>
        <v>54.244819121062349</v>
      </c>
    </row>
    <row r="15" spans="1:5" ht="22.5">
      <c r="A15" s="1565" t="s">
        <v>91</v>
      </c>
      <c r="B15" s="117" t="s">
        <v>110</v>
      </c>
      <c r="C15" s="1563">
        <f>C8+C9+C10+C13+C14</f>
        <v>109232200</v>
      </c>
      <c r="D15" s="1563">
        <f>D8+D9+D10+D13+D14</f>
        <v>59464923.100000009</v>
      </c>
      <c r="E15" s="1564">
        <f t="shared" si="0"/>
        <v>54.439005256691722</v>
      </c>
    </row>
  </sheetData>
  <mergeCells count="8">
    <mergeCell ref="A6:A7"/>
    <mergeCell ref="B6:B7"/>
    <mergeCell ref="C4:E4"/>
    <mergeCell ref="C1:E1"/>
    <mergeCell ref="C2:E2"/>
    <mergeCell ref="C3:E3"/>
    <mergeCell ref="B5:E5"/>
    <mergeCell ref="C6:E6"/>
  </mergeCells>
  <phoneticPr fontId="10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view="pageBreakPreview" topLeftCell="A4" zoomScaleSheetLayoutView="100" workbookViewId="0">
      <selection activeCell="J58" sqref="J58"/>
    </sheetView>
  </sheetViews>
  <sheetFormatPr defaultRowHeight="12.75"/>
  <cols>
    <col min="1" max="1" width="14.7109375" style="29" customWidth="1"/>
    <col min="2" max="2" width="53" style="532" customWidth="1"/>
    <col min="3" max="3" width="9.42578125" style="30" bestFit="1" customWidth="1"/>
    <col min="4" max="5" width="9.42578125" style="30" customWidth="1"/>
    <col min="6" max="6" width="13.85546875" style="30" customWidth="1"/>
    <col min="7" max="9" width="11.7109375" style="30" customWidth="1"/>
    <col min="10" max="10" width="9.42578125" style="30" customWidth="1"/>
    <col min="11" max="11" width="9.42578125" style="666" customWidth="1"/>
    <col min="12" max="12" width="9.42578125" style="28" customWidth="1"/>
    <col min="13" max="13" width="9.42578125" style="666" customWidth="1"/>
    <col min="14" max="15" width="12.42578125" style="28" customWidth="1"/>
    <col min="16" max="16384" width="9.140625" style="28"/>
  </cols>
  <sheetData>
    <row r="1" spans="1:15" ht="15.75" customHeight="1">
      <c r="A1" s="525"/>
      <c r="B1" s="529" t="s">
        <v>208</v>
      </c>
      <c r="C1" s="1839" t="e">
        <f>Kadar.ode.!#REF!</f>
        <v>#REF!</v>
      </c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</row>
    <row r="2" spans="1:15" ht="15.75" customHeight="1">
      <c r="A2" s="525"/>
      <c r="B2" s="529" t="s">
        <v>209</v>
      </c>
      <c r="C2" s="1839" t="e">
        <f>Kadar.ode.!#REF!</f>
        <v>#REF!</v>
      </c>
      <c r="D2" s="1840"/>
      <c r="E2" s="1840"/>
      <c r="F2" s="1840"/>
      <c r="G2" s="1840"/>
      <c r="H2" s="1840"/>
      <c r="I2" s="1840"/>
      <c r="J2" s="1840"/>
      <c r="K2" s="1840"/>
      <c r="L2" s="1840"/>
      <c r="M2" s="1840"/>
      <c r="N2" s="1840"/>
    </row>
    <row r="3" spans="1:15" ht="15.75" customHeight="1">
      <c r="A3" s="525"/>
      <c r="B3" s="529"/>
      <c r="C3" s="1839" t="s">
        <v>1812</v>
      </c>
      <c r="D3" s="1840"/>
      <c r="E3" s="1840"/>
      <c r="F3" s="1840"/>
      <c r="G3" s="1840"/>
      <c r="H3" s="1840"/>
      <c r="I3" s="1840"/>
      <c r="J3" s="1840"/>
      <c r="K3" s="1840"/>
      <c r="L3" s="1840"/>
      <c r="M3" s="1840"/>
      <c r="N3" s="1840"/>
    </row>
    <row r="4" spans="1:15" ht="15.75" customHeight="1">
      <c r="A4" s="525"/>
      <c r="B4" s="529" t="s">
        <v>210</v>
      </c>
      <c r="C4" s="2345" t="s">
        <v>329</v>
      </c>
      <c r="D4" s="2346"/>
      <c r="E4" s="2346"/>
      <c r="F4" s="2346"/>
      <c r="G4" s="2346"/>
      <c r="H4" s="2346"/>
      <c r="I4" s="2346"/>
      <c r="J4" s="2346"/>
      <c r="K4" s="2346"/>
      <c r="L4" s="2346"/>
      <c r="M4" s="2346"/>
      <c r="N4" s="2346"/>
    </row>
    <row r="5" spans="1:15" s="4" customFormat="1" ht="99.95" customHeight="1">
      <c r="A5" s="527" t="s">
        <v>122</v>
      </c>
      <c r="B5" s="527" t="s">
        <v>345</v>
      </c>
      <c r="C5" s="115" t="s">
        <v>1820</v>
      </c>
      <c r="D5" s="203" t="s">
        <v>1815</v>
      </c>
      <c r="E5" s="202" t="s">
        <v>1821</v>
      </c>
      <c r="F5" s="202" t="s">
        <v>1822</v>
      </c>
      <c r="G5" s="202" t="s">
        <v>1823</v>
      </c>
      <c r="H5" s="203" t="s">
        <v>1814</v>
      </c>
      <c r="I5" s="202" t="s">
        <v>1824</v>
      </c>
      <c r="J5" s="203" t="s">
        <v>1825</v>
      </c>
      <c r="K5" s="197" t="s">
        <v>1794</v>
      </c>
      <c r="L5" s="203" t="s">
        <v>1826</v>
      </c>
      <c r="M5" s="197" t="s">
        <v>1795</v>
      </c>
      <c r="N5" s="203" t="s">
        <v>1827</v>
      </c>
      <c r="O5" s="204"/>
    </row>
    <row r="6" spans="1:15" s="1801" customFormat="1" ht="25.5">
      <c r="A6" s="1795" t="s">
        <v>1963</v>
      </c>
      <c r="B6" s="1804" t="s">
        <v>1964</v>
      </c>
      <c r="C6" s="1798">
        <v>79</v>
      </c>
      <c r="D6" s="1797">
        <f>SUM(D7:D37)</f>
        <v>234</v>
      </c>
      <c r="E6" s="1797">
        <f t="shared" ref="E6:N6" si="0">SUM(E7:E37)</f>
        <v>183</v>
      </c>
      <c r="F6" s="1797">
        <f t="shared" si="0"/>
        <v>2143</v>
      </c>
      <c r="G6" s="1797">
        <f t="shared" si="0"/>
        <v>260</v>
      </c>
      <c r="H6" s="1798">
        <f t="shared" si="0"/>
        <v>494</v>
      </c>
      <c r="I6" s="1798">
        <f>SUM(I7:I37)/16</f>
        <v>58.3125</v>
      </c>
      <c r="J6" s="1798">
        <f>SUM(J7:J37)/6</f>
        <v>81.321666666666673</v>
      </c>
      <c r="K6" s="1798">
        <f t="shared" si="0"/>
        <v>3483</v>
      </c>
      <c r="L6" s="1798">
        <f t="shared" si="0"/>
        <v>2713</v>
      </c>
      <c r="M6" s="1798">
        <f t="shared" si="0"/>
        <v>3483</v>
      </c>
      <c r="N6" s="1798">
        <f t="shared" si="0"/>
        <v>322</v>
      </c>
      <c r="O6" s="1800"/>
    </row>
    <row r="7" spans="1:15">
      <c r="A7" s="542" t="s">
        <v>1987</v>
      </c>
      <c r="B7" s="539" t="s">
        <v>1988</v>
      </c>
      <c r="C7" s="122"/>
      <c r="D7" s="122">
        <v>5</v>
      </c>
      <c r="E7" s="122">
        <v>76</v>
      </c>
      <c r="F7" s="122">
        <v>988</v>
      </c>
      <c r="G7" s="122">
        <v>75</v>
      </c>
      <c r="H7" s="124">
        <v>14</v>
      </c>
      <c r="I7" s="124">
        <v>72</v>
      </c>
      <c r="J7" s="124">
        <v>76</v>
      </c>
      <c r="K7" s="663">
        <v>1000</v>
      </c>
      <c r="L7" s="124">
        <v>398</v>
      </c>
      <c r="M7" s="663">
        <v>1000</v>
      </c>
      <c r="N7" s="31">
        <v>12</v>
      </c>
      <c r="O7" s="205"/>
    </row>
    <row r="8" spans="1:15" ht="25.5">
      <c r="A8" s="542" t="s">
        <v>1989</v>
      </c>
      <c r="B8" s="539" t="s">
        <v>1990</v>
      </c>
      <c r="C8" s="122"/>
      <c r="D8" s="122">
        <v>4</v>
      </c>
      <c r="E8" s="122"/>
      <c r="F8" s="122"/>
      <c r="G8" s="122"/>
      <c r="H8" s="124">
        <v>49</v>
      </c>
      <c r="I8" s="124"/>
      <c r="J8" s="124">
        <v>69</v>
      </c>
      <c r="K8" s="663">
        <v>1100</v>
      </c>
      <c r="L8" s="124">
        <v>649</v>
      </c>
      <c r="M8" s="663">
        <v>1100</v>
      </c>
      <c r="N8" s="31">
        <v>35</v>
      </c>
      <c r="O8" s="205"/>
    </row>
    <row r="9" spans="1:15" ht="25.5">
      <c r="A9" s="542" t="s">
        <v>1991</v>
      </c>
      <c r="B9" s="539" t="s">
        <v>1992</v>
      </c>
      <c r="C9" s="122"/>
      <c r="D9" s="122">
        <v>1</v>
      </c>
      <c r="E9" s="122">
        <v>0</v>
      </c>
      <c r="F9" s="122">
        <v>1</v>
      </c>
      <c r="G9" s="122">
        <v>1</v>
      </c>
      <c r="H9" s="124"/>
      <c r="I9" s="124">
        <v>49</v>
      </c>
      <c r="J9" s="124"/>
      <c r="K9" s="663">
        <v>600</v>
      </c>
      <c r="L9" s="124"/>
      <c r="M9" s="663">
        <v>600</v>
      </c>
      <c r="N9" s="31"/>
      <c r="O9" s="205"/>
    </row>
    <row r="10" spans="1:15">
      <c r="A10" s="542" t="s">
        <v>1985</v>
      </c>
      <c r="B10" s="539" t="s">
        <v>1993</v>
      </c>
      <c r="C10" s="122"/>
      <c r="D10" s="122"/>
      <c r="E10" s="122">
        <v>1</v>
      </c>
      <c r="F10" s="122">
        <v>7</v>
      </c>
      <c r="G10" s="122">
        <v>1</v>
      </c>
      <c r="H10" s="124"/>
      <c r="I10" s="124">
        <v>91</v>
      </c>
      <c r="J10" s="124"/>
      <c r="K10" s="663"/>
      <c r="L10" s="124"/>
      <c r="M10" s="663"/>
      <c r="N10" s="31"/>
      <c r="O10" s="205"/>
    </row>
    <row r="11" spans="1:15">
      <c r="A11" s="542" t="s">
        <v>1994</v>
      </c>
      <c r="B11" s="539" t="s">
        <v>1995</v>
      </c>
      <c r="C11" s="122"/>
      <c r="D11" s="122">
        <v>2</v>
      </c>
      <c r="E11" s="122">
        <v>12</v>
      </c>
      <c r="F11" s="122">
        <v>2</v>
      </c>
      <c r="G11" s="122">
        <v>39</v>
      </c>
      <c r="H11" s="124"/>
      <c r="I11" s="124"/>
      <c r="J11" s="124"/>
      <c r="K11" s="663"/>
      <c r="L11" s="124"/>
      <c r="M11" s="663"/>
      <c r="N11" s="31"/>
      <c r="O11" s="205"/>
    </row>
    <row r="12" spans="1:15">
      <c r="A12" s="542" t="s">
        <v>1996</v>
      </c>
      <c r="B12" s="539" t="s">
        <v>1997</v>
      </c>
      <c r="C12" s="122"/>
      <c r="D12" s="122">
        <v>0</v>
      </c>
      <c r="E12" s="122"/>
      <c r="F12" s="122"/>
      <c r="G12" s="122"/>
      <c r="H12" s="124">
        <v>0</v>
      </c>
      <c r="I12" s="124"/>
      <c r="J12" s="124">
        <v>0</v>
      </c>
      <c r="K12" s="663">
        <v>30</v>
      </c>
      <c r="L12" s="124">
        <v>1</v>
      </c>
      <c r="M12" s="663">
        <v>30</v>
      </c>
      <c r="N12" s="31">
        <v>0</v>
      </c>
      <c r="O12" s="205"/>
    </row>
    <row r="13" spans="1:15" ht="25.5">
      <c r="A13" s="542" t="s">
        <v>1998</v>
      </c>
      <c r="B13" s="539" t="s">
        <v>1999</v>
      </c>
      <c r="C13" s="122"/>
      <c r="D13" s="122">
        <v>51</v>
      </c>
      <c r="E13" s="122">
        <v>56</v>
      </c>
      <c r="F13" s="122">
        <v>700</v>
      </c>
      <c r="G13" s="122">
        <v>101</v>
      </c>
      <c r="H13" s="124">
        <v>97</v>
      </c>
      <c r="I13" s="124">
        <v>57</v>
      </c>
      <c r="J13" s="124">
        <v>73</v>
      </c>
      <c r="K13" s="663">
        <v>500</v>
      </c>
      <c r="L13" s="124">
        <v>451</v>
      </c>
      <c r="M13" s="663">
        <v>500</v>
      </c>
      <c r="N13" s="31">
        <v>37</v>
      </c>
      <c r="O13" s="205"/>
    </row>
    <row r="14" spans="1:15">
      <c r="A14" s="542" t="s">
        <v>2000</v>
      </c>
      <c r="B14" s="539" t="s">
        <v>2001</v>
      </c>
      <c r="C14" s="122"/>
      <c r="D14" s="122"/>
      <c r="E14" s="122">
        <v>12</v>
      </c>
      <c r="F14" s="122">
        <v>48</v>
      </c>
      <c r="G14" s="122">
        <v>12</v>
      </c>
      <c r="H14" s="124"/>
      <c r="I14" s="124">
        <v>75</v>
      </c>
      <c r="J14" s="124"/>
      <c r="K14" s="663">
        <v>15</v>
      </c>
      <c r="L14" s="124"/>
      <c r="M14" s="663">
        <v>15</v>
      </c>
      <c r="N14" s="31"/>
      <c r="O14" s="205"/>
    </row>
    <row r="15" spans="1:15" ht="38.25">
      <c r="A15" s="542" t="s">
        <v>2002</v>
      </c>
      <c r="B15" s="539" t="s">
        <v>2003</v>
      </c>
      <c r="C15" s="122"/>
      <c r="D15" s="122">
        <v>7</v>
      </c>
      <c r="E15" s="122">
        <v>1</v>
      </c>
      <c r="F15" s="122">
        <v>57</v>
      </c>
      <c r="G15" s="122">
        <v>3</v>
      </c>
      <c r="H15" s="124">
        <v>10</v>
      </c>
      <c r="I15" s="124">
        <v>65</v>
      </c>
      <c r="J15" s="124">
        <v>50</v>
      </c>
      <c r="K15" s="663">
        <v>50</v>
      </c>
      <c r="L15" s="124">
        <v>86</v>
      </c>
      <c r="M15" s="663">
        <v>50</v>
      </c>
      <c r="N15" s="31">
        <v>2</v>
      </c>
      <c r="O15" s="205"/>
    </row>
    <row r="16" spans="1:15">
      <c r="A16" s="542" t="s">
        <v>2004</v>
      </c>
      <c r="B16" s="540" t="s">
        <v>2005</v>
      </c>
      <c r="C16" s="122"/>
      <c r="D16" s="122"/>
      <c r="E16" s="122">
        <v>1</v>
      </c>
      <c r="F16" s="122">
        <v>1</v>
      </c>
      <c r="G16" s="122">
        <v>1</v>
      </c>
      <c r="H16" s="124"/>
      <c r="I16" s="124">
        <v>70</v>
      </c>
      <c r="J16" s="124"/>
      <c r="K16" s="663"/>
      <c r="L16" s="124"/>
      <c r="M16" s="663"/>
      <c r="N16" s="31"/>
      <c r="O16" s="205"/>
    </row>
    <row r="17" spans="1:15" ht="25.5">
      <c r="A17" s="542" t="s">
        <v>2006</v>
      </c>
      <c r="B17" s="540" t="s">
        <v>2007</v>
      </c>
      <c r="C17" s="122"/>
      <c r="D17" s="122"/>
      <c r="E17" s="122">
        <v>1</v>
      </c>
      <c r="F17" s="122">
        <v>5</v>
      </c>
      <c r="G17" s="122">
        <v>2</v>
      </c>
      <c r="H17" s="124"/>
      <c r="I17" s="124">
        <v>76</v>
      </c>
      <c r="J17" s="124"/>
      <c r="K17" s="663"/>
      <c r="L17" s="124"/>
      <c r="M17" s="663"/>
      <c r="N17" s="31"/>
      <c r="O17" s="205"/>
    </row>
    <row r="18" spans="1:15">
      <c r="A18" s="543" t="s">
        <v>2008</v>
      </c>
      <c r="B18" s="540" t="s">
        <v>2009</v>
      </c>
      <c r="C18" s="122"/>
      <c r="D18" s="122"/>
      <c r="E18" s="122">
        <v>1</v>
      </c>
      <c r="F18" s="122">
        <v>13</v>
      </c>
      <c r="G18" s="122">
        <v>0</v>
      </c>
      <c r="H18" s="124"/>
      <c r="I18" s="124">
        <v>71</v>
      </c>
      <c r="J18" s="124"/>
      <c r="K18" s="663"/>
      <c r="L18" s="124"/>
      <c r="M18" s="663"/>
      <c r="N18" s="31"/>
      <c r="O18" s="205"/>
    </row>
    <row r="19" spans="1:15" ht="25.5">
      <c r="A19" s="543" t="s">
        <v>2010</v>
      </c>
      <c r="B19" s="540" t="s">
        <v>2011</v>
      </c>
      <c r="C19" s="122"/>
      <c r="D19" s="122">
        <v>2</v>
      </c>
      <c r="E19" s="122">
        <v>3</v>
      </c>
      <c r="F19" s="122">
        <v>27</v>
      </c>
      <c r="G19" s="122">
        <v>4</v>
      </c>
      <c r="H19" s="124">
        <v>4</v>
      </c>
      <c r="I19" s="124">
        <v>57</v>
      </c>
      <c r="J19" s="124">
        <v>78</v>
      </c>
      <c r="K19" s="663">
        <v>4</v>
      </c>
      <c r="L19" s="124">
        <v>45</v>
      </c>
      <c r="M19" s="663">
        <v>4</v>
      </c>
      <c r="N19" s="31">
        <v>2</v>
      </c>
      <c r="O19" s="205"/>
    </row>
    <row r="20" spans="1:15">
      <c r="A20" s="543" t="s">
        <v>2012</v>
      </c>
      <c r="B20" s="540" t="s">
        <v>2013</v>
      </c>
      <c r="C20" s="122"/>
      <c r="D20" s="122"/>
      <c r="E20" s="122">
        <v>7</v>
      </c>
      <c r="F20" s="122">
        <v>121</v>
      </c>
      <c r="G20" s="122">
        <v>7</v>
      </c>
      <c r="H20" s="124"/>
      <c r="I20" s="124">
        <v>49</v>
      </c>
      <c r="J20" s="124"/>
      <c r="K20" s="663">
        <v>13</v>
      </c>
      <c r="L20" s="124"/>
      <c r="M20" s="663">
        <v>13</v>
      </c>
      <c r="N20" s="31"/>
      <c r="O20" s="205"/>
    </row>
    <row r="21" spans="1:15">
      <c r="A21" s="543" t="s">
        <v>2014</v>
      </c>
      <c r="B21" s="540" t="s">
        <v>2015</v>
      </c>
      <c r="C21" s="122"/>
      <c r="D21" s="122"/>
      <c r="E21" s="122">
        <v>5</v>
      </c>
      <c r="F21" s="122">
        <v>56</v>
      </c>
      <c r="G21" s="122">
        <v>6</v>
      </c>
      <c r="H21" s="124"/>
      <c r="I21" s="124">
        <v>48</v>
      </c>
      <c r="J21" s="124"/>
      <c r="K21" s="663">
        <v>5</v>
      </c>
      <c r="L21" s="124"/>
      <c r="M21" s="663">
        <v>5</v>
      </c>
      <c r="N21" s="31"/>
      <c r="O21" s="205"/>
    </row>
    <row r="22" spans="1:15">
      <c r="A22" s="543" t="s">
        <v>2016</v>
      </c>
      <c r="B22" s="540" t="s">
        <v>2017</v>
      </c>
      <c r="C22" s="122"/>
      <c r="D22" s="122"/>
      <c r="E22" s="122">
        <v>4</v>
      </c>
      <c r="F22" s="122">
        <v>30</v>
      </c>
      <c r="G22" s="122">
        <v>4</v>
      </c>
      <c r="H22" s="124"/>
      <c r="I22" s="124">
        <v>62</v>
      </c>
      <c r="J22" s="124"/>
      <c r="K22" s="663">
        <v>5</v>
      </c>
      <c r="L22" s="124"/>
      <c r="M22" s="663">
        <v>5</v>
      </c>
      <c r="N22" s="31"/>
      <c r="O22" s="205"/>
    </row>
    <row r="23" spans="1:15" ht="25.5">
      <c r="A23" s="543" t="s">
        <v>2018</v>
      </c>
      <c r="B23" s="540" t="s">
        <v>2019</v>
      </c>
      <c r="C23" s="122"/>
      <c r="D23" s="122"/>
      <c r="E23" s="122">
        <v>0</v>
      </c>
      <c r="F23" s="122">
        <v>11</v>
      </c>
      <c r="G23" s="122">
        <v>1</v>
      </c>
      <c r="H23" s="124"/>
      <c r="I23" s="124">
        <v>0</v>
      </c>
      <c r="J23" s="124"/>
      <c r="K23" s="663"/>
      <c r="L23" s="124"/>
      <c r="M23" s="663"/>
      <c r="N23" s="31"/>
      <c r="O23" s="205"/>
    </row>
    <row r="24" spans="1:15" ht="25.5">
      <c r="A24" s="543" t="s">
        <v>2020</v>
      </c>
      <c r="B24" s="540" t="s">
        <v>2021</v>
      </c>
      <c r="C24" s="122"/>
      <c r="D24" s="122"/>
      <c r="E24" s="122">
        <v>1</v>
      </c>
      <c r="F24" s="122">
        <v>44</v>
      </c>
      <c r="G24" s="122">
        <v>1</v>
      </c>
      <c r="H24" s="124"/>
      <c r="I24" s="124">
        <v>64</v>
      </c>
      <c r="J24" s="124"/>
      <c r="K24" s="663">
        <v>50</v>
      </c>
      <c r="L24" s="124"/>
      <c r="M24" s="663">
        <v>50</v>
      </c>
      <c r="N24" s="31"/>
      <c r="O24" s="205"/>
    </row>
    <row r="25" spans="1:15">
      <c r="A25" s="543" t="s">
        <v>1986</v>
      </c>
      <c r="B25" s="540" t="s">
        <v>2022</v>
      </c>
      <c r="C25" s="122"/>
      <c r="D25" s="122"/>
      <c r="E25" s="122">
        <v>2</v>
      </c>
      <c r="F25" s="122">
        <v>26</v>
      </c>
      <c r="G25" s="122">
        <v>2</v>
      </c>
      <c r="H25" s="124"/>
      <c r="I25" s="124">
        <v>27</v>
      </c>
      <c r="J25" s="124"/>
      <c r="K25" s="663">
        <v>30</v>
      </c>
      <c r="L25" s="124"/>
      <c r="M25" s="663">
        <v>30</v>
      </c>
      <c r="N25" s="31"/>
      <c r="O25" s="205"/>
    </row>
    <row r="26" spans="1:15" ht="25.5">
      <c r="A26" s="543" t="s">
        <v>2023</v>
      </c>
      <c r="B26" s="540" t="s">
        <v>2024</v>
      </c>
      <c r="C26" s="122"/>
      <c r="D26" s="122">
        <v>40</v>
      </c>
      <c r="E26" s="122"/>
      <c r="F26" s="122"/>
      <c r="G26" s="122"/>
      <c r="H26" s="124">
        <v>74</v>
      </c>
      <c r="I26" s="124"/>
      <c r="J26" s="124">
        <v>58</v>
      </c>
      <c r="K26" s="663">
        <v>81</v>
      </c>
      <c r="L26" s="124">
        <v>515</v>
      </c>
      <c r="M26" s="663">
        <v>81</v>
      </c>
      <c r="N26" s="31">
        <v>20</v>
      </c>
      <c r="O26" s="205"/>
    </row>
    <row r="27" spans="1:15">
      <c r="A27" s="121" t="s">
        <v>1965</v>
      </c>
      <c r="B27" s="530" t="s">
        <v>1966</v>
      </c>
      <c r="C27" s="122"/>
      <c r="D27" s="122"/>
      <c r="E27" s="122"/>
      <c r="F27" s="122"/>
      <c r="G27" s="122"/>
      <c r="H27" s="124"/>
      <c r="I27" s="124"/>
      <c r="J27" s="124"/>
      <c r="K27" s="663"/>
      <c r="L27" s="124"/>
      <c r="M27" s="663"/>
      <c r="N27" s="31"/>
      <c r="O27" s="205"/>
    </row>
    <row r="28" spans="1:15">
      <c r="A28" s="128"/>
      <c r="B28" s="527"/>
      <c r="C28" s="122"/>
      <c r="D28" s="122"/>
      <c r="E28" s="122"/>
      <c r="F28" s="122"/>
      <c r="G28" s="122"/>
      <c r="H28" s="124"/>
      <c r="I28" s="124"/>
      <c r="J28" s="124"/>
      <c r="K28" s="663"/>
      <c r="L28" s="124"/>
      <c r="M28" s="663"/>
      <c r="N28" s="31"/>
      <c r="O28" s="205"/>
    </row>
    <row r="29" spans="1:15" s="1801" customFormat="1" ht="25.5">
      <c r="A29" s="1795">
        <v>2</v>
      </c>
      <c r="B29" s="1804" t="s">
        <v>1967</v>
      </c>
      <c r="C29" s="1797">
        <f>SUM(C30)</f>
        <v>0</v>
      </c>
      <c r="D29" s="1797">
        <f t="shared" ref="D29:N29" si="1">SUM(D30)</f>
        <v>29</v>
      </c>
      <c r="E29" s="1797">
        <f t="shared" si="1"/>
        <v>0</v>
      </c>
      <c r="F29" s="1797">
        <f t="shared" si="1"/>
        <v>3</v>
      </c>
      <c r="G29" s="1797">
        <f t="shared" si="1"/>
        <v>0</v>
      </c>
      <c r="H29" s="1797">
        <f t="shared" si="1"/>
        <v>117</v>
      </c>
      <c r="I29" s="1797">
        <f t="shared" si="1"/>
        <v>0</v>
      </c>
      <c r="J29" s="1797">
        <f t="shared" si="1"/>
        <v>35.47</v>
      </c>
      <c r="K29" s="1797">
        <f t="shared" si="1"/>
        <v>0</v>
      </c>
      <c r="L29" s="1797">
        <f t="shared" si="1"/>
        <v>236</v>
      </c>
      <c r="M29" s="1797">
        <f t="shared" si="1"/>
        <v>0</v>
      </c>
      <c r="N29" s="1797">
        <f t="shared" si="1"/>
        <v>101</v>
      </c>
      <c r="O29" s="1800"/>
    </row>
    <row r="30" spans="1:15">
      <c r="A30" s="121" t="s">
        <v>1976</v>
      </c>
      <c r="B30" s="530" t="s">
        <v>1977</v>
      </c>
      <c r="C30" s="122">
        <v>0</v>
      </c>
      <c r="D30" s="122">
        <v>29</v>
      </c>
      <c r="E30" s="122">
        <v>0</v>
      </c>
      <c r="F30" s="122">
        <v>3</v>
      </c>
      <c r="G30" s="122">
        <v>0</v>
      </c>
      <c r="H30" s="124">
        <v>117</v>
      </c>
      <c r="I30" s="124">
        <v>0</v>
      </c>
      <c r="J30" s="124">
        <v>35.47</v>
      </c>
      <c r="K30" s="663"/>
      <c r="L30" s="124">
        <v>236</v>
      </c>
      <c r="M30" s="663"/>
      <c r="N30" s="31">
        <v>101</v>
      </c>
      <c r="O30" s="205"/>
    </row>
    <row r="31" spans="1:15">
      <c r="A31" s="121"/>
      <c r="B31" s="530"/>
      <c r="C31" s="122"/>
      <c r="D31" s="122"/>
      <c r="E31" s="122"/>
      <c r="F31" s="122"/>
      <c r="G31" s="122"/>
      <c r="H31" s="124"/>
      <c r="I31" s="124"/>
      <c r="J31" s="124"/>
      <c r="K31" s="663"/>
      <c r="L31" s="124"/>
      <c r="M31" s="663"/>
      <c r="N31" s="31"/>
      <c r="O31" s="205"/>
    </row>
    <row r="32" spans="1:15" s="1801" customFormat="1">
      <c r="A32" s="1795">
        <v>3</v>
      </c>
      <c r="B32" s="1796" t="s">
        <v>1968</v>
      </c>
      <c r="C32" s="1797">
        <f>SUM(C33:C37)</f>
        <v>0</v>
      </c>
      <c r="D32" s="1797">
        <f t="shared" ref="D32:N32" si="2">SUM(D33:D37)</f>
        <v>32</v>
      </c>
      <c r="E32" s="1797">
        <f t="shared" si="2"/>
        <v>0</v>
      </c>
      <c r="F32" s="1797">
        <f t="shared" si="2"/>
        <v>0</v>
      </c>
      <c r="G32" s="1797">
        <f t="shared" si="2"/>
        <v>0</v>
      </c>
      <c r="H32" s="1797">
        <f t="shared" si="2"/>
        <v>6</v>
      </c>
      <c r="I32" s="1797">
        <f t="shared" si="2"/>
        <v>0</v>
      </c>
      <c r="J32" s="1797">
        <f>SUM(J33:J37)/2</f>
        <v>4.33</v>
      </c>
      <c r="K32" s="1797">
        <f t="shared" si="2"/>
        <v>0</v>
      </c>
      <c r="L32" s="1797">
        <f t="shared" si="2"/>
        <v>48</v>
      </c>
      <c r="M32" s="1797">
        <f t="shared" si="2"/>
        <v>0</v>
      </c>
      <c r="N32" s="1797">
        <f t="shared" si="2"/>
        <v>6</v>
      </c>
      <c r="O32" s="1800"/>
    </row>
    <row r="33" spans="1:15">
      <c r="A33" s="533">
        <v>3.1</v>
      </c>
      <c r="B33" s="527" t="s">
        <v>1969</v>
      </c>
      <c r="C33" s="122">
        <f>SUM(C34:C37)</f>
        <v>0</v>
      </c>
      <c r="D33" s="122">
        <f t="shared" ref="D33:K33" si="3">SUM(D34:D37)</f>
        <v>16</v>
      </c>
      <c r="E33" s="122">
        <f t="shared" si="3"/>
        <v>0</v>
      </c>
      <c r="F33" s="122">
        <f t="shared" si="3"/>
        <v>0</v>
      </c>
      <c r="G33" s="122">
        <f t="shared" si="3"/>
        <v>0</v>
      </c>
      <c r="H33" s="122">
        <f t="shared" si="3"/>
        <v>3</v>
      </c>
      <c r="I33" s="122">
        <f t="shared" si="3"/>
        <v>0</v>
      </c>
      <c r="J33" s="122">
        <f t="shared" si="3"/>
        <v>4.33</v>
      </c>
      <c r="K33" s="664">
        <f t="shared" si="3"/>
        <v>0</v>
      </c>
      <c r="L33" s="667">
        <f>SUM(L34:L37)</f>
        <v>24</v>
      </c>
      <c r="M33" s="667">
        <f t="shared" ref="M33:N33" si="4">SUM(M34:M37)</f>
        <v>0</v>
      </c>
      <c r="N33" s="667">
        <f t="shared" si="4"/>
        <v>3</v>
      </c>
      <c r="O33" s="205"/>
    </row>
    <row r="34" spans="1:15" ht="25.5">
      <c r="A34" s="533" t="s">
        <v>1980</v>
      </c>
      <c r="B34" s="544" t="s">
        <v>2036</v>
      </c>
      <c r="C34" s="122">
        <v>0</v>
      </c>
      <c r="D34" s="122">
        <v>10</v>
      </c>
      <c r="E34" s="122">
        <v>0</v>
      </c>
      <c r="F34" s="122">
        <v>0</v>
      </c>
      <c r="G34" s="122">
        <v>0</v>
      </c>
      <c r="H34" s="124">
        <v>3</v>
      </c>
      <c r="I34" s="124">
        <v>0</v>
      </c>
      <c r="J34" s="1568">
        <v>4.33</v>
      </c>
      <c r="K34" s="663"/>
      <c r="L34" s="124">
        <v>17</v>
      </c>
      <c r="M34" s="663"/>
      <c r="N34" s="31">
        <v>3</v>
      </c>
      <c r="O34" s="205"/>
    </row>
    <row r="35" spans="1:15" ht="25.5">
      <c r="A35" s="533" t="s">
        <v>1978</v>
      </c>
      <c r="B35" s="544" t="s">
        <v>2033</v>
      </c>
      <c r="C35" s="122">
        <v>0</v>
      </c>
      <c r="D35" s="122">
        <v>4</v>
      </c>
      <c r="E35" s="122">
        <v>0</v>
      </c>
      <c r="F35" s="122">
        <v>0</v>
      </c>
      <c r="G35" s="122">
        <v>0</v>
      </c>
      <c r="H35" s="124">
        <v>0</v>
      </c>
      <c r="I35" s="124">
        <v>0</v>
      </c>
      <c r="J35" s="124"/>
      <c r="K35" s="663"/>
      <c r="L35" s="124">
        <v>2</v>
      </c>
      <c r="M35" s="663"/>
      <c r="N35" s="31"/>
      <c r="O35" s="205"/>
    </row>
    <row r="36" spans="1:15" ht="25.5">
      <c r="A36" s="533" t="s">
        <v>1979</v>
      </c>
      <c r="B36" s="544" t="s">
        <v>2034</v>
      </c>
      <c r="C36" s="122">
        <v>0</v>
      </c>
      <c r="D36" s="122">
        <v>2</v>
      </c>
      <c r="E36" s="122">
        <v>0</v>
      </c>
      <c r="F36" s="122">
        <v>0</v>
      </c>
      <c r="G36" s="122">
        <v>0</v>
      </c>
      <c r="H36" s="124">
        <v>0</v>
      </c>
      <c r="I36" s="124">
        <v>0</v>
      </c>
      <c r="J36" s="124"/>
      <c r="K36" s="663"/>
      <c r="L36" s="124">
        <v>1</v>
      </c>
      <c r="M36" s="663"/>
      <c r="N36" s="31"/>
      <c r="O36" s="205"/>
    </row>
    <row r="37" spans="1:15">
      <c r="A37" s="533" t="s">
        <v>1981</v>
      </c>
      <c r="B37" s="544" t="s">
        <v>2035</v>
      </c>
      <c r="C37" s="122">
        <v>0</v>
      </c>
      <c r="D37" s="122"/>
      <c r="E37" s="122"/>
      <c r="F37" s="122"/>
      <c r="G37" s="122"/>
      <c r="H37" s="124"/>
      <c r="I37" s="124"/>
      <c r="J37" s="124"/>
      <c r="K37" s="663"/>
      <c r="L37" s="124">
        <v>4</v>
      </c>
      <c r="M37" s="663"/>
      <c r="O37" s="205"/>
    </row>
    <row r="38" spans="1:15">
      <c r="A38" s="533"/>
      <c r="B38" s="527"/>
      <c r="C38" s="122"/>
      <c r="D38" s="122"/>
      <c r="E38" s="122"/>
      <c r="F38" s="122"/>
      <c r="G38" s="122"/>
      <c r="H38" s="124"/>
      <c r="I38" s="124"/>
      <c r="J38" s="124"/>
      <c r="K38" s="663"/>
      <c r="L38" s="124"/>
      <c r="M38" s="663"/>
      <c r="N38" s="31"/>
      <c r="O38" s="205"/>
    </row>
    <row r="39" spans="1:15">
      <c r="A39" s="533">
        <v>3.2</v>
      </c>
      <c r="B39" s="527" t="s">
        <v>1970</v>
      </c>
      <c r="C39" s="122"/>
      <c r="D39" s="122"/>
      <c r="E39" s="122"/>
      <c r="F39" s="122"/>
      <c r="G39" s="122"/>
      <c r="H39" s="124"/>
      <c r="I39" s="124"/>
      <c r="J39" s="124"/>
      <c r="K39" s="663"/>
      <c r="L39" s="124"/>
      <c r="M39" s="663"/>
      <c r="N39" s="31"/>
      <c r="O39" s="205"/>
    </row>
    <row r="40" spans="1:15">
      <c r="A40" s="533"/>
      <c r="B40" s="527"/>
      <c r="C40" s="122"/>
      <c r="D40" s="122"/>
      <c r="E40" s="122"/>
      <c r="F40" s="122"/>
      <c r="G40" s="122"/>
      <c r="H40" s="124"/>
      <c r="I40" s="124"/>
      <c r="J40" s="124"/>
      <c r="K40" s="663"/>
      <c r="L40" s="124"/>
      <c r="M40" s="663"/>
      <c r="N40" s="31"/>
      <c r="O40" s="205"/>
    </row>
    <row r="41" spans="1:15">
      <c r="A41" s="533"/>
      <c r="B41" s="527"/>
      <c r="C41" s="122"/>
      <c r="D41" s="122"/>
      <c r="E41" s="122"/>
      <c r="F41" s="122"/>
      <c r="G41" s="122"/>
      <c r="H41" s="124"/>
      <c r="I41" s="124"/>
      <c r="J41" s="124"/>
      <c r="K41" s="663"/>
      <c r="L41" s="124"/>
      <c r="M41" s="663"/>
      <c r="N41" s="31"/>
      <c r="O41" s="205"/>
    </row>
    <row r="42" spans="1:15" ht="25.5">
      <c r="A42" s="121">
        <v>4</v>
      </c>
      <c r="B42" s="530" t="s">
        <v>1971</v>
      </c>
      <c r="C42" s="122"/>
      <c r="D42" s="122"/>
      <c r="E42" s="122"/>
      <c r="F42" s="122"/>
      <c r="G42" s="122"/>
      <c r="H42" s="124"/>
      <c r="I42" s="124"/>
      <c r="J42" s="124"/>
      <c r="K42" s="663"/>
      <c r="L42" s="124"/>
      <c r="M42" s="663"/>
      <c r="N42" s="31"/>
      <c r="O42" s="205"/>
    </row>
    <row r="43" spans="1:15">
      <c r="A43" s="128"/>
      <c r="B43" s="527"/>
      <c r="C43" s="122"/>
      <c r="D43" s="122"/>
      <c r="E43" s="122"/>
      <c r="F43" s="122"/>
      <c r="G43" s="122"/>
      <c r="H43" s="124"/>
      <c r="I43" s="124"/>
      <c r="J43" s="124"/>
      <c r="K43" s="663"/>
      <c r="L43" s="124"/>
      <c r="M43" s="663"/>
      <c r="N43" s="31"/>
      <c r="O43" s="205"/>
    </row>
    <row r="44" spans="1:15">
      <c r="A44" s="128"/>
      <c r="B44" s="527"/>
      <c r="C44" s="122"/>
      <c r="D44" s="122"/>
      <c r="E44" s="122"/>
      <c r="F44" s="122"/>
      <c r="G44" s="122"/>
      <c r="H44" s="124"/>
      <c r="I44" s="124"/>
      <c r="J44" s="124"/>
      <c r="K44" s="663"/>
      <c r="L44" s="124"/>
      <c r="M44" s="663"/>
      <c r="N44" s="31"/>
      <c r="O44" s="205"/>
    </row>
    <row r="45" spans="1:15">
      <c r="A45" s="121">
        <v>5</v>
      </c>
      <c r="B45" s="530" t="s">
        <v>1972</v>
      </c>
      <c r="C45" s="122"/>
      <c r="D45" s="122"/>
      <c r="E45" s="122"/>
      <c r="F45" s="122"/>
      <c r="G45" s="122"/>
      <c r="H45" s="124"/>
      <c r="I45" s="124"/>
      <c r="J45" s="124"/>
      <c r="K45" s="663"/>
      <c r="L45" s="124"/>
      <c r="M45" s="663"/>
      <c r="N45" s="31"/>
      <c r="O45" s="205"/>
    </row>
    <row r="46" spans="1:15">
      <c r="A46" s="128"/>
      <c r="B46" s="527"/>
      <c r="C46" s="122"/>
      <c r="D46" s="122"/>
      <c r="E46" s="122"/>
      <c r="F46" s="122"/>
      <c r="G46" s="122"/>
      <c r="H46" s="124"/>
      <c r="I46" s="124"/>
      <c r="J46" s="124"/>
      <c r="K46" s="663"/>
      <c r="L46" s="124"/>
      <c r="M46" s="663"/>
      <c r="N46" s="31"/>
      <c r="O46" s="205"/>
    </row>
    <row r="47" spans="1:15">
      <c r="A47" s="128"/>
      <c r="B47" s="527"/>
      <c r="C47" s="122"/>
      <c r="D47" s="122"/>
      <c r="E47" s="122"/>
      <c r="F47" s="122"/>
      <c r="G47" s="122"/>
      <c r="H47" s="124"/>
      <c r="I47" s="124"/>
      <c r="J47" s="124"/>
      <c r="K47" s="663"/>
      <c r="L47" s="124"/>
      <c r="M47" s="663"/>
      <c r="N47" s="31"/>
      <c r="O47" s="205"/>
    </row>
    <row r="48" spans="1:15" ht="25.5">
      <c r="A48" s="121">
        <v>6</v>
      </c>
      <c r="B48" s="530" t="s">
        <v>1973</v>
      </c>
      <c r="C48" s="122"/>
      <c r="D48" s="122"/>
      <c r="E48" s="122"/>
      <c r="F48" s="122"/>
      <c r="G48" s="122"/>
      <c r="H48" s="124"/>
      <c r="I48" s="124"/>
      <c r="J48" s="124"/>
      <c r="K48" s="663"/>
      <c r="L48" s="124"/>
      <c r="M48" s="663"/>
      <c r="N48" s="31"/>
      <c r="O48" s="205"/>
    </row>
    <row r="49" spans="1:15">
      <c r="A49" s="128"/>
      <c r="B49" s="527"/>
      <c r="C49" s="122"/>
      <c r="D49" s="122"/>
      <c r="E49" s="122"/>
      <c r="F49" s="122"/>
      <c r="G49" s="122"/>
      <c r="H49" s="124"/>
      <c r="I49" s="124"/>
      <c r="J49" s="124"/>
      <c r="K49" s="663"/>
      <c r="L49" s="124"/>
      <c r="M49" s="663"/>
      <c r="N49" s="31"/>
      <c r="O49" s="205"/>
    </row>
    <row r="50" spans="1:15">
      <c r="A50" s="128"/>
      <c r="B50" s="527"/>
      <c r="C50" s="122"/>
      <c r="D50" s="122"/>
      <c r="E50" s="122"/>
      <c r="F50" s="122"/>
      <c r="G50" s="122"/>
      <c r="H50" s="124"/>
      <c r="I50" s="124"/>
      <c r="J50" s="124"/>
      <c r="K50" s="663"/>
      <c r="L50" s="124"/>
      <c r="M50" s="663"/>
      <c r="N50" s="31"/>
      <c r="O50" s="205"/>
    </row>
    <row r="51" spans="1:15" s="1803" customFormat="1" ht="25.5">
      <c r="A51" s="1795">
        <v>7</v>
      </c>
      <c r="B51" s="1804" t="s">
        <v>1974</v>
      </c>
      <c r="C51" s="1797">
        <f>+C52+C53</f>
        <v>85</v>
      </c>
      <c r="D51" s="1797">
        <f t="shared" ref="D51:N51" si="5">+D52+D53</f>
        <v>107</v>
      </c>
      <c r="E51" s="1797">
        <f t="shared" si="5"/>
        <v>613</v>
      </c>
      <c r="F51" s="1797">
        <f t="shared" si="5"/>
        <v>662</v>
      </c>
      <c r="G51" s="1797">
        <f t="shared" si="5"/>
        <v>394</v>
      </c>
      <c r="H51" s="1798">
        <f t="shared" si="5"/>
        <v>492</v>
      </c>
      <c r="I51" s="1798">
        <f>+(I52+I53)/2</f>
        <v>296.5</v>
      </c>
      <c r="J51" s="1798">
        <f>+(J52+J53)/2</f>
        <v>39.5</v>
      </c>
      <c r="K51" s="1799">
        <f t="shared" si="5"/>
        <v>700</v>
      </c>
      <c r="L51" s="1798">
        <f t="shared" si="5"/>
        <v>458</v>
      </c>
      <c r="M51" s="1799">
        <f t="shared" si="5"/>
        <v>700</v>
      </c>
      <c r="N51" s="1798">
        <f t="shared" si="5"/>
        <v>445</v>
      </c>
      <c r="O51" s="1802"/>
    </row>
    <row r="52" spans="1:15" ht="38.25">
      <c r="A52" s="541" t="s">
        <v>2025</v>
      </c>
      <c r="B52" s="539" t="s">
        <v>2026</v>
      </c>
      <c r="C52" s="122">
        <v>0</v>
      </c>
      <c r="D52" s="122">
        <v>3</v>
      </c>
      <c r="E52" s="122">
        <v>520</v>
      </c>
      <c r="F52" s="122">
        <v>551</v>
      </c>
      <c r="G52" s="122">
        <v>357</v>
      </c>
      <c r="H52" s="124">
        <v>27</v>
      </c>
      <c r="I52" s="124">
        <v>336</v>
      </c>
      <c r="J52" s="124">
        <v>38</v>
      </c>
      <c r="K52" s="663">
        <v>100</v>
      </c>
      <c r="L52" s="124">
        <v>27</v>
      </c>
      <c r="M52" s="663">
        <v>100</v>
      </c>
      <c r="N52" s="31">
        <v>24</v>
      </c>
      <c r="O52" s="205"/>
    </row>
    <row r="53" spans="1:15" ht="38.25">
      <c r="A53" s="541" t="s">
        <v>2027</v>
      </c>
      <c r="B53" s="539" t="s">
        <v>2028</v>
      </c>
      <c r="C53" s="122">
        <v>85</v>
      </c>
      <c r="D53" s="122">
        <v>104</v>
      </c>
      <c r="E53" s="122">
        <v>93</v>
      </c>
      <c r="F53" s="122">
        <v>111</v>
      </c>
      <c r="G53" s="122">
        <v>37</v>
      </c>
      <c r="H53" s="124">
        <v>465</v>
      </c>
      <c r="I53" s="124">
        <v>257</v>
      </c>
      <c r="J53" s="124">
        <v>41</v>
      </c>
      <c r="K53" s="663">
        <v>600</v>
      </c>
      <c r="L53" s="124">
        <v>431</v>
      </c>
      <c r="M53" s="663">
        <v>600</v>
      </c>
      <c r="N53" s="31">
        <v>421</v>
      </c>
      <c r="O53" s="205"/>
    </row>
    <row r="54" spans="1:15" s="1801" customFormat="1" ht="25.5">
      <c r="A54" s="1795">
        <v>8</v>
      </c>
      <c r="B54" s="1804" t="s">
        <v>1975</v>
      </c>
      <c r="C54" s="1797">
        <f>+C55+C56</f>
        <v>69</v>
      </c>
      <c r="D54" s="1797">
        <f t="shared" ref="D54:N54" si="6">+D55+D56</f>
        <v>94</v>
      </c>
      <c r="E54" s="1797">
        <f t="shared" si="6"/>
        <v>201</v>
      </c>
      <c r="F54" s="1797">
        <f t="shared" si="6"/>
        <v>204</v>
      </c>
      <c r="G54" s="1797">
        <f t="shared" si="6"/>
        <v>63</v>
      </c>
      <c r="H54" s="1797">
        <f t="shared" si="6"/>
        <v>121</v>
      </c>
      <c r="I54" s="1798">
        <f>+(I55+I56)/2</f>
        <v>118</v>
      </c>
      <c r="J54" s="1798">
        <f>+(J55+J56)/2</f>
        <v>125</v>
      </c>
      <c r="K54" s="1799">
        <f t="shared" si="6"/>
        <v>240</v>
      </c>
      <c r="L54" s="1798">
        <f t="shared" si="6"/>
        <v>96</v>
      </c>
      <c r="M54" s="1799">
        <f t="shared" si="6"/>
        <v>240</v>
      </c>
      <c r="N54" s="1798">
        <f t="shared" si="6"/>
        <v>96</v>
      </c>
      <c r="O54" s="1800"/>
    </row>
    <row r="55" spans="1:15">
      <c r="A55" s="541" t="s">
        <v>2029</v>
      </c>
      <c r="B55" s="539" t="s">
        <v>2030</v>
      </c>
      <c r="C55" s="122">
        <v>41</v>
      </c>
      <c r="D55" s="122">
        <v>67</v>
      </c>
      <c r="E55" s="122">
        <v>159</v>
      </c>
      <c r="F55" s="122">
        <v>162</v>
      </c>
      <c r="G55" s="122">
        <v>38</v>
      </c>
      <c r="H55" s="124">
        <v>93</v>
      </c>
      <c r="I55" s="124">
        <v>82</v>
      </c>
      <c r="J55" s="124">
        <v>81</v>
      </c>
      <c r="K55" s="663">
        <v>160</v>
      </c>
      <c r="L55" s="124">
        <v>67</v>
      </c>
      <c r="M55" s="663">
        <v>160</v>
      </c>
      <c r="N55" s="31">
        <v>67</v>
      </c>
      <c r="O55" s="205"/>
    </row>
    <row r="56" spans="1:15">
      <c r="A56" s="541" t="s">
        <v>2031</v>
      </c>
      <c r="B56" s="539" t="s">
        <v>2032</v>
      </c>
      <c r="C56" s="122">
        <v>28</v>
      </c>
      <c r="D56" s="122">
        <v>27</v>
      </c>
      <c r="E56" s="122">
        <v>42</v>
      </c>
      <c r="F56" s="122">
        <v>42</v>
      </c>
      <c r="G56" s="122">
        <v>25</v>
      </c>
      <c r="H56" s="124">
        <v>28</v>
      </c>
      <c r="I56" s="124">
        <v>154</v>
      </c>
      <c r="J56" s="124">
        <v>169</v>
      </c>
      <c r="K56" s="663">
        <v>80</v>
      </c>
      <c r="L56" s="124">
        <v>29</v>
      </c>
      <c r="M56" s="663">
        <v>80</v>
      </c>
      <c r="N56" s="31">
        <v>29</v>
      </c>
      <c r="O56" s="205"/>
    </row>
    <row r="57" spans="1:15">
      <c r="A57" s="2344" t="s">
        <v>90</v>
      </c>
      <c r="B57" s="2344"/>
      <c r="C57" s="125">
        <f>+C6+C29+C32+C51+C54</f>
        <v>233</v>
      </c>
      <c r="D57" s="125">
        <f t="shared" ref="D57:N57" si="7">+D6+D29+D32+D51+D54</f>
        <v>496</v>
      </c>
      <c r="E57" s="125">
        <f t="shared" si="7"/>
        <v>997</v>
      </c>
      <c r="F57" s="125">
        <f t="shared" si="7"/>
        <v>3012</v>
      </c>
      <c r="G57" s="125">
        <f t="shared" si="7"/>
        <v>717</v>
      </c>
      <c r="H57" s="125">
        <f t="shared" si="7"/>
        <v>1230</v>
      </c>
      <c r="I57" s="125">
        <f>+(I6+I29+I32+I51+I54)/5</f>
        <v>94.5625</v>
      </c>
      <c r="J57" s="125">
        <f>+(J6+J29+J32+J51+J54)/5</f>
        <v>57.124333333333333</v>
      </c>
      <c r="K57" s="125">
        <f t="shared" si="7"/>
        <v>4423</v>
      </c>
      <c r="L57" s="125">
        <f t="shared" si="7"/>
        <v>3551</v>
      </c>
      <c r="M57" s="125">
        <f t="shared" si="7"/>
        <v>4423</v>
      </c>
      <c r="N57" s="125">
        <f t="shared" si="7"/>
        <v>970</v>
      </c>
      <c r="O57" s="205"/>
    </row>
    <row r="58" spans="1:15">
      <c r="A58" s="126"/>
      <c r="B58" s="531"/>
      <c r="C58" s="127"/>
      <c r="D58" s="127"/>
      <c r="E58" s="127"/>
      <c r="F58" s="127"/>
      <c r="G58" s="127"/>
      <c r="H58" s="127"/>
      <c r="I58" s="127"/>
      <c r="J58" s="127"/>
      <c r="K58" s="665"/>
      <c r="L58" s="123"/>
      <c r="M58" s="665"/>
      <c r="N58" s="123"/>
      <c r="O58" s="123"/>
    </row>
  </sheetData>
  <mergeCells count="5">
    <mergeCell ref="A57:B57"/>
    <mergeCell ref="C2:N2"/>
    <mergeCell ref="C1:N1"/>
    <mergeCell ref="C3:N3"/>
    <mergeCell ref="C4:N4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scale="74" fitToHeight="0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view="pageBreakPreview" zoomScale="140" zoomScaleSheetLayoutView="140" workbookViewId="0">
      <selection activeCell="D7" sqref="D7"/>
    </sheetView>
  </sheetViews>
  <sheetFormatPr defaultRowHeight="12.75"/>
  <cols>
    <col min="1" max="1" width="21.5703125" style="22" customWidth="1"/>
    <col min="2" max="2" width="9.140625" style="22"/>
    <col min="3" max="3" width="5.85546875" style="22" customWidth="1"/>
    <col min="4" max="4" width="8" style="22" customWidth="1"/>
    <col min="5" max="5" width="5.85546875" style="21" customWidth="1"/>
    <col min="6" max="7" width="6.28515625" style="21" customWidth="1"/>
    <col min="8" max="8" width="6" style="21" customWidth="1"/>
    <col min="9" max="9" width="5.85546875" style="21" customWidth="1"/>
    <col min="10" max="10" width="6" style="21" customWidth="1"/>
    <col min="11" max="11" width="6.7109375" style="21" customWidth="1"/>
    <col min="12" max="12" width="6.42578125" style="21" customWidth="1"/>
    <col min="13" max="13" width="5.85546875" style="22" customWidth="1"/>
    <col min="14" max="14" width="6.28515625" style="22" customWidth="1"/>
    <col min="15" max="15" width="6.7109375" style="22" customWidth="1"/>
    <col min="16" max="16" width="5.7109375" style="16" customWidth="1"/>
    <col min="17" max="18" width="6.7109375" style="16" customWidth="1"/>
    <col min="19" max="16384" width="9.140625" style="16"/>
  </cols>
  <sheetData>
    <row r="1" spans="1:18" s="14" customFormat="1" ht="15.75">
      <c r="A1" s="110"/>
      <c r="B1" s="111" t="s">
        <v>208</v>
      </c>
      <c r="C1" s="1839" t="s">
        <v>1847</v>
      </c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  <c r="O1" s="1840"/>
      <c r="P1" s="1840"/>
      <c r="Q1" s="1840"/>
      <c r="R1" s="1840"/>
    </row>
    <row r="2" spans="1:18" s="14" customFormat="1" ht="15.75">
      <c r="A2" s="110"/>
      <c r="B2" s="111" t="s">
        <v>209</v>
      </c>
      <c r="C2" s="1839">
        <v>17878735</v>
      </c>
      <c r="D2" s="1840"/>
      <c r="E2" s="1840"/>
      <c r="F2" s="1840"/>
      <c r="G2" s="1840"/>
      <c r="H2" s="1840"/>
      <c r="I2" s="1840"/>
      <c r="J2" s="1840"/>
      <c r="K2" s="1840"/>
      <c r="L2" s="1840"/>
      <c r="M2" s="1840"/>
      <c r="N2" s="1840"/>
      <c r="O2" s="1840"/>
      <c r="P2" s="1840"/>
      <c r="Q2" s="1840"/>
      <c r="R2" s="1840"/>
    </row>
    <row r="3" spans="1:18" s="14" customFormat="1" ht="15.75">
      <c r="A3" s="110"/>
      <c r="B3" s="111" t="s">
        <v>211</v>
      </c>
      <c r="C3" s="1839" t="str">
        <f>[1]Kadar.ode.!C3</f>
        <v>30.06.2018.</v>
      </c>
      <c r="D3" s="1840"/>
      <c r="E3" s="1840"/>
      <c r="F3" s="1840"/>
      <c r="G3" s="1840"/>
      <c r="H3" s="1840"/>
      <c r="I3" s="1840"/>
      <c r="J3" s="1840"/>
      <c r="K3" s="1840"/>
      <c r="L3" s="1840"/>
      <c r="M3" s="1840"/>
      <c r="N3" s="1840"/>
      <c r="O3" s="1840"/>
      <c r="P3" s="1840"/>
      <c r="Q3" s="1840"/>
      <c r="R3" s="1840"/>
    </row>
    <row r="4" spans="1:18" s="14" customFormat="1" ht="15.75">
      <c r="A4" s="110"/>
      <c r="B4" s="111" t="s">
        <v>210</v>
      </c>
      <c r="C4" s="1830" t="s">
        <v>336</v>
      </c>
      <c r="D4" s="1831"/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</row>
    <row r="5" spans="1:18" ht="55.5" customHeight="1">
      <c r="A5" s="1837" t="s">
        <v>56</v>
      </c>
      <c r="B5" s="1838" t="s">
        <v>217</v>
      </c>
      <c r="C5" s="1838" t="s">
        <v>30</v>
      </c>
      <c r="D5" s="1838" t="s">
        <v>31</v>
      </c>
      <c r="E5" s="1838" t="s">
        <v>219</v>
      </c>
      <c r="F5" s="1838"/>
      <c r="G5" s="1838"/>
      <c r="H5" s="1838"/>
      <c r="I5" s="1838"/>
      <c r="J5" s="1838"/>
      <c r="K5" s="1838"/>
      <c r="L5" s="1838"/>
      <c r="M5" s="1838"/>
      <c r="N5" s="1838"/>
      <c r="O5" s="1838"/>
      <c r="P5" s="1838" t="s">
        <v>216</v>
      </c>
      <c r="Q5" s="1838"/>
      <c r="R5" s="1838"/>
    </row>
    <row r="6" spans="1:18" s="34" customFormat="1" ht="88.5" customHeight="1">
      <c r="A6" s="1837"/>
      <c r="B6" s="1838"/>
      <c r="C6" s="1838"/>
      <c r="D6" s="1838"/>
      <c r="E6" s="58" t="s">
        <v>142</v>
      </c>
      <c r="F6" s="153" t="s">
        <v>212</v>
      </c>
      <c r="G6" s="153" t="s">
        <v>213</v>
      </c>
      <c r="H6" s="58" t="s">
        <v>227</v>
      </c>
      <c r="I6" s="58" t="s">
        <v>228</v>
      </c>
      <c r="J6" s="58" t="s">
        <v>220</v>
      </c>
      <c r="K6" s="58" t="s">
        <v>221</v>
      </c>
      <c r="L6" s="58" t="s">
        <v>222</v>
      </c>
      <c r="M6" s="58" t="s">
        <v>143</v>
      </c>
      <c r="N6" s="58" t="s">
        <v>223</v>
      </c>
      <c r="O6" s="58" t="s">
        <v>224</v>
      </c>
      <c r="P6" s="58" t="s">
        <v>137</v>
      </c>
      <c r="Q6" s="58" t="s">
        <v>138</v>
      </c>
      <c r="R6" s="58" t="s">
        <v>139</v>
      </c>
    </row>
    <row r="7" spans="1:18" ht="12" customHeight="1">
      <c r="A7" s="61" t="s">
        <v>6961</v>
      </c>
      <c r="B7" s="61">
        <v>30</v>
      </c>
      <c r="C7" s="61">
        <v>2</v>
      </c>
      <c r="D7" s="61">
        <v>8841</v>
      </c>
      <c r="E7" s="63">
        <v>4</v>
      </c>
      <c r="F7" s="63"/>
      <c r="G7" s="63">
        <v>4</v>
      </c>
      <c r="H7" s="57">
        <v>5</v>
      </c>
      <c r="I7" s="62">
        <f t="shared" ref="I7:I16" si="0">E7-H7</f>
        <v>-1</v>
      </c>
      <c r="J7" s="63">
        <v>16</v>
      </c>
      <c r="K7" s="57">
        <v>18</v>
      </c>
      <c r="L7" s="62">
        <f t="shared" ref="L7:L16" si="1">J7-K7</f>
        <v>-2</v>
      </c>
      <c r="M7" s="50"/>
      <c r="N7" s="57"/>
      <c r="O7" s="62">
        <f t="shared" ref="O7:O16" si="2">M7-N7</f>
        <v>0</v>
      </c>
      <c r="P7" s="64"/>
      <c r="Q7" s="64"/>
      <c r="R7" s="64"/>
    </row>
    <row r="8" spans="1:18" ht="12" customHeight="1">
      <c r="A8" s="61" t="s">
        <v>6962</v>
      </c>
      <c r="B8" s="61">
        <v>8</v>
      </c>
      <c r="C8" s="61">
        <v>2</v>
      </c>
      <c r="D8" s="61"/>
      <c r="E8" s="50">
        <v>3</v>
      </c>
      <c r="F8" s="63">
        <v>1</v>
      </c>
      <c r="G8" s="63">
        <v>2</v>
      </c>
      <c r="H8" s="57">
        <v>3</v>
      </c>
      <c r="I8" s="62">
        <f t="shared" si="0"/>
        <v>0</v>
      </c>
      <c r="J8" s="63">
        <v>7</v>
      </c>
      <c r="K8" s="57">
        <v>6</v>
      </c>
      <c r="L8" s="62">
        <f t="shared" si="1"/>
        <v>1</v>
      </c>
      <c r="M8" s="50"/>
      <c r="N8" s="57"/>
      <c r="O8" s="62">
        <f t="shared" si="2"/>
        <v>0</v>
      </c>
      <c r="P8" s="64"/>
      <c r="Q8" s="64"/>
      <c r="R8" s="64"/>
    </row>
    <row r="9" spans="1:18" ht="12" customHeight="1">
      <c r="A9" s="112" t="s">
        <v>6963</v>
      </c>
      <c r="B9" s="61">
        <v>15</v>
      </c>
      <c r="C9" s="61"/>
      <c r="D9" s="61"/>
      <c r="E9" s="50"/>
      <c r="F9" s="63"/>
      <c r="G9" s="63"/>
      <c r="H9" s="57">
        <v>2</v>
      </c>
      <c r="I9" s="62">
        <f t="shared" si="0"/>
        <v>-2</v>
      </c>
      <c r="J9" s="63"/>
      <c r="K9" s="57">
        <v>4</v>
      </c>
      <c r="L9" s="62">
        <f t="shared" si="1"/>
        <v>-4</v>
      </c>
      <c r="M9" s="50"/>
      <c r="N9" s="57"/>
      <c r="O9" s="62">
        <f t="shared" si="2"/>
        <v>0</v>
      </c>
      <c r="P9" s="64"/>
      <c r="Q9" s="64"/>
      <c r="R9" s="64"/>
    </row>
    <row r="10" spans="1:18" ht="12" customHeight="1">
      <c r="A10" s="61" t="s">
        <v>6964</v>
      </c>
      <c r="B10" s="61">
        <v>14</v>
      </c>
      <c r="C10" s="61"/>
      <c r="D10" s="61"/>
      <c r="E10" s="61"/>
      <c r="F10" s="154"/>
      <c r="G10" s="154"/>
      <c r="H10" s="57">
        <v>2</v>
      </c>
      <c r="I10" s="62">
        <f t="shared" si="0"/>
        <v>-2</v>
      </c>
      <c r="J10" s="61"/>
      <c r="K10" s="57">
        <v>4</v>
      </c>
      <c r="L10" s="62">
        <f t="shared" si="1"/>
        <v>-4</v>
      </c>
      <c r="M10" s="61"/>
      <c r="N10" s="57"/>
      <c r="O10" s="62">
        <f t="shared" si="2"/>
        <v>0</v>
      </c>
      <c r="P10" s="64"/>
      <c r="Q10" s="64"/>
      <c r="R10" s="64"/>
    </row>
    <row r="11" spans="1:18" ht="12" customHeight="1">
      <c r="A11" s="61" t="s">
        <v>6965</v>
      </c>
      <c r="B11" s="61">
        <v>7</v>
      </c>
      <c r="C11" s="61"/>
      <c r="D11" s="61"/>
      <c r="E11" s="61"/>
      <c r="F11" s="154"/>
      <c r="G11" s="154"/>
      <c r="H11" s="57">
        <v>1</v>
      </c>
      <c r="I11" s="62">
        <f t="shared" si="0"/>
        <v>-1</v>
      </c>
      <c r="J11" s="61"/>
      <c r="K11" s="57">
        <v>1</v>
      </c>
      <c r="L11" s="62">
        <f t="shared" si="1"/>
        <v>-1</v>
      </c>
      <c r="M11" s="61"/>
      <c r="N11" s="57"/>
      <c r="O11" s="62">
        <f t="shared" si="2"/>
        <v>0</v>
      </c>
      <c r="P11" s="64"/>
      <c r="Q11" s="64"/>
      <c r="R11" s="64"/>
    </row>
    <row r="12" spans="1:18" ht="12" customHeight="1">
      <c r="A12" s="61"/>
      <c r="B12" s="61"/>
      <c r="C12" s="61"/>
      <c r="D12" s="61"/>
      <c r="E12" s="61"/>
      <c r="F12" s="154"/>
      <c r="G12" s="154"/>
      <c r="H12" s="57"/>
      <c r="I12" s="62">
        <f t="shared" si="0"/>
        <v>0</v>
      </c>
      <c r="J12" s="61"/>
      <c r="K12" s="57"/>
      <c r="L12" s="62">
        <f t="shared" si="1"/>
        <v>0</v>
      </c>
      <c r="M12" s="61"/>
      <c r="N12" s="57"/>
      <c r="O12" s="62">
        <f t="shared" si="2"/>
        <v>0</v>
      </c>
      <c r="P12" s="64"/>
      <c r="Q12" s="64"/>
      <c r="R12" s="64"/>
    </row>
    <row r="13" spans="1:18" ht="12" customHeight="1">
      <c r="A13" s="61"/>
      <c r="B13" s="61"/>
      <c r="C13" s="61"/>
      <c r="D13" s="61"/>
      <c r="E13" s="61"/>
      <c r="F13" s="154"/>
      <c r="G13" s="154"/>
      <c r="H13" s="57"/>
      <c r="I13" s="62">
        <f t="shared" si="0"/>
        <v>0</v>
      </c>
      <c r="J13" s="61"/>
      <c r="K13" s="57"/>
      <c r="L13" s="62">
        <f t="shared" si="1"/>
        <v>0</v>
      </c>
      <c r="M13" s="61"/>
      <c r="N13" s="57"/>
      <c r="O13" s="62">
        <f t="shared" si="2"/>
        <v>0</v>
      </c>
      <c r="P13" s="64"/>
      <c r="Q13" s="64"/>
      <c r="R13" s="64"/>
    </row>
    <row r="14" spans="1:18" ht="12" customHeight="1">
      <c r="A14" s="61"/>
      <c r="B14" s="61"/>
      <c r="C14" s="61"/>
      <c r="D14" s="61"/>
      <c r="E14" s="61"/>
      <c r="F14" s="154"/>
      <c r="G14" s="154"/>
      <c r="H14" s="57"/>
      <c r="I14" s="62">
        <f t="shared" si="0"/>
        <v>0</v>
      </c>
      <c r="J14" s="61"/>
      <c r="K14" s="57"/>
      <c r="L14" s="62">
        <f t="shared" si="1"/>
        <v>0</v>
      </c>
      <c r="M14" s="61"/>
      <c r="N14" s="57"/>
      <c r="O14" s="62">
        <f t="shared" si="2"/>
        <v>0</v>
      </c>
      <c r="P14" s="64"/>
      <c r="Q14" s="64"/>
      <c r="R14" s="64"/>
    </row>
    <row r="15" spans="1:18" ht="12" customHeight="1">
      <c r="A15" s="61"/>
      <c r="B15" s="61"/>
      <c r="C15" s="61"/>
      <c r="D15" s="61"/>
      <c r="E15" s="61"/>
      <c r="F15" s="154"/>
      <c r="G15" s="154"/>
      <c r="H15" s="57"/>
      <c r="I15" s="62">
        <f t="shared" si="0"/>
        <v>0</v>
      </c>
      <c r="J15" s="61"/>
      <c r="K15" s="57"/>
      <c r="L15" s="62">
        <f t="shared" si="1"/>
        <v>0</v>
      </c>
      <c r="M15" s="61"/>
      <c r="N15" s="57"/>
      <c r="O15" s="62">
        <f t="shared" si="2"/>
        <v>0</v>
      </c>
      <c r="P15" s="64"/>
      <c r="Q15" s="64"/>
      <c r="R15" s="64"/>
    </row>
    <row r="16" spans="1:18" ht="12" customHeight="1">
      <c r="A16" s="61"/>
      <c r="B16" s="61"/>
      <c r="C16" s="61"/>
      <c r="D16" s="61"/>
      <c r="E16" s="61"/>
      <c r="F16" s="154"/>
      <c r="G16" s="154"/>
      <c r="H16" s="57"/>
      <c r="I16" s="62">
        <f t="shared" si="0"/>
        <v>0</v>
      </c>
      <c r="J16" s="61"/>
      <c r="K16" s="57"/>
      <c r="L16" s="62">
        <f t="shared" si="1"/>
        <v>0</v>
      </c>
      <c r="M16" s="61"/>
      <c r="N16" s="57"/>
      <c r="O16" s="62">
        <f t="shared" si="2"/>
        <v>0</v>
      </c>
      <c r="P16" s="64"/>
      <c r="Q16" s="64"/>
      <c r="R16" s="64"/>
    </row>
    <row r="17" spans="1:18" s="35" customFormat="1" ht="12" customHeight="1">
      <c r="A17" s="139" t="s">
        <v>2</v>
      </c>
      <c r="B17" s="139"/>
      <c r="C17" s="139"/>
      <c r="D17" s="139"/>
      <c r="E17" s="139">
        <f t="shared" ref="E17:R17" si="3">SUM(E7:E16)</f>
        <v>7</v>
      </c>
      <c r="F17" s="139">
        <f t="shared" si="3"/>
        <v>1</v>
      </c>
      <c r="G17" s="139">
        <f t="shared" si="3"/>
        <v>6</v>
      </c>
      <c r="H17" s="139">
        <f t="shared" si="3"/>
        <v>13</v>
      </c>
      <c r="I17" s="139">
        <f t="shared" si="3"/>
        <v>-6</v>
      </c>
      <c r="J17" s="139">
        <f t="shared" si="3"/>
        <v>23</v>
      </c>
      <c r="K17" s="139">
        <f t="shared" si="3"/>
        <v>33</v>
      </c>
      <c r="L17" s="139">
        <f t="shared" si="3"/>
        <v>-10</v>
      </c>
      <c r="M17" s="139">
        <f t="shared" si="3"/>
        <v>0</v>
      </c>
      <c r="N17" s="139">
        <f t="shared" si="3"/>
        <v>0</v>
      </c>
      <c r="O17" s="139">
        <f t="shared" si="3"/>
        <v>0</v>
      </c>
      <c r="P17" s="139">
        <f t="shared" si="3"/>
        <v>0</v>
      </c>
      <c r="Q17" s="139">
        <f t="shared" si="3"/>
        <v>0</v>
      </c>
      <c r="R17" s="139">
        <f t="shared" si="3"/>
        <v>0</v>
      </c>
    </row>
    <row r="18" spans="1:18">
      <c r="A18" s="60" t="s">
        <v>218</v>
      </c>
    </row>
    <row r="19" spans="1:18" s="26" customFormat="1" ht="27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1:18" s="26" customFormat="1" ht="17.2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8">
      <c r="A21" s="55"/>
      <c r="B21" s="55"/>
      <c r="C21" s="55"/>
      <c r="D21" s="55"/>
      <c r="E21" s="56"/>
      <c r="F21" s="56"/>
      <c r="G21" s="56"/>
      <c r="H21" s="56"/>
      <c r="I21" s="56"/>
      <c r="J21" s="56"/>
      <c r="K21" s="56"/>
      <c r="L21" s="56"/>
      <c r="M21" s="55"/>
      <c r="N21" s="55"/>
      <c r="O21" s="55"/>
      <c r="R21" s="46"/>
    </row>
    <row r="22" spans="1:18">
      <c r="A22" s="55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5"/>
      <c r="N22" s="55"/>
      <c r="O22" s="55"/>
    </row>
    <row r="23" spans="1:18">
      <c r="A23" s="55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5"/>
      <c r="N23" s="55"/>
      <c r="O23" s="55"/>
    </row>
  </sheetData>
  <mergeCells count="10">
    <mergeCell ref="A5:A6"/>
    <mergeCell ref="B5:B6"/>
    <mergeCell ref="E5:O5"/>
    <mergeCell ref="C1:R1"/>
    <mergeCell ref="C2:R2"/>
    <mergeCell ref="C3:R3"/>
    <mergeCell ref="C4:R4"/>
    <mergeCell ref="P5:R5"/>
    <mergeCell ref="C5:C6"/>
    <mergeCell ref="D5:D6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G31" sqref="G31"/>
    </sheetView>
  </sheetViews>
  <sheetFormatPr defaultRowHeight="15.75"/>
  <cols>
    <col min="1" max="1" width="30.42578125" style="14" customWidth="1"/>
    <col min="2" max="2" width="6.7109375" style="15" customWidth="1"/>
    <col min="3" max="3" width="5" style="15" customWidth="1"/>
    <col min="4" max="4" width="5.28515625" style="1552" customWidth="1"/>
    <col min="5" max="8" width="5.28515625" style="15" customWidth="1"/>
    <col min="9" max="9" width="5.28515625" style="17" customWidth="1"/>
    <col min="10" max="10" width="4.5703125" style="17" customWidth="1"/>
    <col min="11" max="11" width="4.85546875" style="14" customWidth="1"/>
    <col min="12" max="12" width="5.28515625" style="1552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10"/>
      <c r="B1" s="111" t="s">
        <v>208</v>
      </c>
      <c r="C1" s="1839" t="s">
        <v>1847</v>
      </c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  <c r="O1" s="1840"/>
      <c r="P1" s="1840"/>
      <c r="Q1" s="1840"/>
      <c r="R1" s="1840"/>
      <c r="S1" s="1840"/>
      <c r="T1" s="1840"/>
      <c r="U1" s="1840"/>
      <c r="V1" s="1840"/>
      <c r="W1" s="1840"/>
    </row>
    <row r="2" spans="1:23">
      <c r="A2" s="110"/>
      <c r="B2" s="111" t="s">
        <v>209</v>
      </c>
      <c r="C2" s="1839">
        <v>17878735</v>
      </c>
      <c r="D2" s="1840"/>
      <c r="E2" s="1840"/>
      <c r="F2" s="1840"/>
      <c r="G2" s="1840"/>
      <c r="H2" s="1840"/>
      <c r="I2" s="1840"/>
      <c r="J2" s="1840"/>
      <c r="K2" s="1840"/>
      <c r="L2" s="1840"/>
      <c r="M2" s="1840"/>
      <c r="N2" s="1840"/>
      <c r="O2" s="1840"/>
      <c r="P2" s="1840"/>
      <c r="Q2" s="1840"/>
      <c r="R2" s="1840"/>
      <c r="S2" s="1840"/>
      <c r="T2" s="1840"/>
      <c r="U2" s="1840"/>
      <c r="V2" s="1840"/>
      <c r="W2" s="1840"/>
    </row>
    <row r="3" spans="1:23">
      <c r="A3" s="110"/>
      <c r="B3" s="111" t="s">
        <v>211</v>
      </c>
      <c r="C3" s="1839" t="str">
        <f>[1]Kadar.ode.!C3</f>
        <v>30.06.2018.</v>
      </c>
      <c r="D3" s="1840"/>
      <c r="E3" s="1840"/>
      <c r="F3" s="1840"/>
      <c r="G3" s="1840"/>
      <c r="H3" s="1840"/>
      <c r="I3" s="1840"/>
      <c r="J3" s="1840"/>
      <c r="K3" s="1840"/>
      <c r="L3" s="1840"/>
      <c r="M3" s="1840"/>
      <c r="N3" s="1840"/>
      <c r="O3" s="1840"/>
      <c r="P3" s="1840"/>
      <c r="Q3" s="1840"/>
      <c r="R3" s="1840"/>
      <c r="S3" s="1840"/>
      <c r="T3" s="1840"/>
      <c r="U3" s="1840"/>
      <c r="V3" s="1840"/>
      <c r="W3" s="1840"/>
    </row>
    <row r="4" spans="1:23">
      <c r="A4" s="110"/>
      <c r="B4" s="111" t="s">
        <v>210</v>
      </c>
      <c r="C4" s="1830" t="s">
        <v>337</v>
      </c>
      <c r="D4" s="1831"/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  <c r="S4" s="1831"/>
      <c r="T4" s="1831"/>
      <c r="U4" s="1831"/>
      <c r="V4" s="1831"/>
      <c r="W4" s="1831"/>
    </row>
    <row r="5" spans="1:23" ht="9" customHeight="1">
      <c r="A5" s="1829"/>
      <c r="B5" s="1829"/>
      <c r="C5" s="1829"/>
      <c r="D5" s="1829"/>
      <c r="E5" s="1829"/>
      <c r="F5" s="1829"/>
      <c r="G5" s="1829"/>
      <c r="H5" s="1829"/>
      <c r="I5" s="1829"/>
      <c r="J5" s="1829"/>
      <c r="K5" s="1829"/>
      <c r="L5" s="1829"/>
      <c r="M5" s="1829"/>
      <c r="N5" s="1829"/>
      <c r="O5" s="1829"/>
      <c r="P5" s="1829"/>
      <c r="Q5" s="1829"/>
      <c r="R5" s="1829"/>
      <c r="S5" s="1829"/>
      <c r="T5" s="1829"/>
      <c r="U5" s="1829"/>
      <c r="V5" s="1829"/>
      <c r="W5" s="1829"/>
    </row>
    <row r="6" spans="1:23" ht="45.75" customHeight="1">
      <c r="A6" s="1842" t="s">
        <v>334</v>
      </c>
      <c r="B6" s="1843" t="s">
        <v>32</v>
      </c>
      <c r="C6" s="1833" t="s">
        <v>205</v>
      </c>
      <c r="D6" s="1841" t="s">
        <v>219</v>
      </c>
      <c r="E6" s="1841"/>
      <c r="F6" s="1841"/>
      <c r="G6" s="1841"/>
      <c r="H6" s="1841"/>
      <c r="I6" s="1841"/>
      <c r="J6" s="1841"/>
      <c r="K6" s="1841"/>
      <c r="L6" s="1841"/>
      <c r="M6" s="1841"/>
      <c r="N6" s="1841"/>
      <c r="O6" s="1841"/>
      <c r="P6" s="1841"/>
      <c r="Q6" s="1841"/>
      <c r="R6" s="1841"/>
      <c r="S6" s="1841"/>
      <c r="T6" s="1841" t="s">
        <v>216</v>
      </c>
      <c r="U6" s="1841"/>
      <c r="V6" s="1841"/>
      <c r="W6" s="1841"/>
    </row>
    <row r="7" spans="1:23" s="36" customFormat="1" ht="66" customHeight="1">
      <c r="A7" s="1842"/>
      <c r="B7" s="1843"/>
      <c r="C7" s="1833"/>
      <c r="D7" s="669" t="s">
        <v>142</v>
      </c>
      <c r="E7" s="671" t="s">
        <v>229</v>
      </c>
      <c r="F7" s="669" t="s">
        <v>212</v>
      </c>
      <c r="G7" s="669" t="s">
        <v>213</v>
      </c>
      <c r="H7" s="671" t="s">
        <v>346</v>
      </c>
      <c r="I7" s="129" t="s">
        <v>59</v>
      </c>
      <c r="J7" s="669" t="s">
        <v>347</v>
      </c>
      <c r="K7" s="130" t="s">
        <v>66</v>
      </c>
      <c r="L7" s="670" t="s">
        <v>230</v>
      </c>
      <c r="M7" s="130" t="s">
        <v>346</v>
      </c>
      <c r="N7" s="129" t="s">
        <v>59</v>
      </c>
      <c r="O7" s="669" t="s">
        <v>347</v>
      </c>
      <c r="P7" s="671" t="s">
        <v>66</v>
      </c>
      <c r="Q7" s="131" t="s">
        <v>231</v>
      </c>
      <c r="R7" s="131" t="s">
        <v>140</v>
      </c>
      <c r="S7" s="131" t="s">
        <v>29</v>
      </c>
      <c r="T7" s="671" t="s">
        <v>137</v>
      </c>
      <c r="U7" s="671" t="s">
        <v>333</v>
      </c>
      <c r="V7" s="671" t="s">
        <v>144</v>
      </c>
      <c r="W7" s="671" t="s">
        <v>139</v>
      </c>
    </row>
    <row r="8" spans="1:23">
      <c r="A8" s="113" t="s">
        <v>33</v>
      </c>
      <c r="B8" s="50"/>
      <c r="C8" s="63"/>
      <c r="D8" s="63">
        <v>11</v>
      </c>
      <c r="E8" s="50"/>
      <c r="F8" s="63">
        <v>2</v>
      </c>
      <c r="G8" s="63">
        <v>9</v>
      </c>
      <c r="H8" s="50">
        <v>8</v>
      </c>
      <c r="I8" s="50">
        <v>2</v>
      </c>
      <c r="J8" s="57">
        <f>SUM(H8:I8)</f>
        <v>10</v>
      </c>
      <c r="K8" s="66">
        <f t="shared" ref="K8:K21" si="0">D8-(H8+I8)</f>
        <v>1</v>
      </c>
      <c r="L8" s="63">
        <v>28</v>
      </c>
      <c r="M8" s="50">
        <v>17</v>
      </c>
      <c r="N8" s="50">
        <v>4</v>
      </c>
      <c r="O8" s="57">
        <f>SUM(M8:N8)</f>
        <v>21</v>
      </c>
      <c r="P8" s="67">
        <f t="shared" ref="P8:P21" si="1">L8-(M8+N8)</f>
        <v>7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13" t="s">
        <v>34</v>
      </c>
      <c r="B9" s="50"/>
      <c r="C9" s="63">
        <v>2</v>
      </c>
      <c r="D9" s="63">
        <v>2</v>
      </c>
      <c r="E9" s="50"/>
      <c r="F9" s="63"/>
      <c r="G9" s="63">
        <v>2</v>
      </c>
      <c r="H9" s="50">
        <v>2</v>
      </c>
      <c r="I9" s="50"/>
      <c r="J9" s="57">
        <f t="shared" ref="J9:J21" si="2">SUM(H9:I9)</f>
        <v>2</v>
      </c>
      <c r="K9" s="66">
        <f t="shared" si="0"/>
        <v>0</v>
      </c>
      <c r="L9" s="63"/>
      <c r="M9" s="50">
        <v>4</v>
      </c>
      <c r="N9" s="50"/>
      <c r="O9" s="57">
        <f t="shared" ref="O9:O20" si="3">SUM(M9:N9)</f>
        <v>4</v>
      </c>
      <c r="P9" s="67">
        <f t="shared" si="1"/>
        <v>-4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13" t="s">
        <v>35</v>
      </c>
      <c r="B10" s="50"/>
      <c r="C10" s="63"/>
      <c r="D10" s="63"/>
      <c r="E10" s="50"/>
      <c r="F10" s="63"/>
      <c r="G10" s="63"/>
      <c r="H10" s="50"/>
      <c r="I10" s="50"/>
      <c r="J10" s="57">
        <f t="shared" si="2"/>
        <v>0</v>
      </c>
      <c r="K10" s="66">
        <f t="shared" si="0"/>
        <v>0</v>
      </c>
      <c r="L10" s="63"/>
      <c r="M10" s="50"/>
      <c r="N10" s="50"/>
      <c r="O10" s="57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13" t="s">
        <v>36</v>
      </c>
      <c r="B11" s="50"/>
      <c r="C11" s="63"/>
      <c r="D11" s="63">
        <v>2</v>
      </c>
      <c r="E11" s="50">
        <v>3</v>
      </c>
      <c r="F11" s="63"/>
      <c r="G11" s="63">
        <v>5</v>
      </c>
      <c r="H11" s="50">
        <v>7</v>
      </c>
      <c r="I11" s="50"/>
      <c r="J11" s="57">
        <f t="shared" si="2"/>
        <v>7</v>
      </c>
      <c r="K11" s="66">
        <f>(D11+E11)-(H11+I11)</f>
        <v>-2</v>
      </c>
      <c r="L11" s="63">
        <v>22</v>
      </c>
      <c r="M11" s="50">
        <v>39</v>
      </c>
      <c r="N11" s="50"/>
      <c r="O11" s="57">
        <f t="shared" si="3"/>
        <v>39</v>
      </c>
      <c r="P11" s="67">
        <f t="shared" si="1"/>
        <v>-17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13" t="s">
        <v>37</v>
      </c>
      <c r="B12" s="50"/>
      <c r="C12" s="63"/>
      <c r="D12" s="63"/>
      <c r="E12" s="50"/>
      <c r="F12" s="63"/>
      <c r="G12" s="63"/>
      <c r="H12" s="50"/>
      <c r="I12" s="50"/>
      <c r="J12" s="57">
        <f t="shared" si="2"/>
        <v>0</v>
      </c>
      <c r="K12" s="66">
        <f t="shared" si="0"/>
        <v>0</v>
      </c>
      <c r="L12" s="63"/>
      <c r="M12" s="50"/>
      <c r="N12" s="50"/>
      <c r="O12" s="57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13" t="s">
        <v>38</v>
      </c>
      <c r="B13" s="50"/>
      <c r="C13" s="63"/>
      <c r="D13" s="63">
        <v>5</v>
      </c>
      <c r="E13" s="50"/>
      <c r="F13" s="63">
        <v>2</v>
      </c>
      <c r="G13" s="63">
        <v>3</v>
      </c>
      <c r="H13" s="50"/>
      <c r="I13" s="50"/>
      <c r="J13" s="57">
        <v>4</v>
      </c>
      <c r="K13" s="66">
        <f t="shared" si="0"/>
        <v>5</v>
      </c>
      <c r="L13" s="63">
        <v>6</v>
      </c>
      <c r="M13" s="50">
        <v>8</v>
      </c>
      <c r="N13" s="50"/>
      <c r="O13" s="57">
        <f t="shared" si="3"/>
        <v>8</v>
      </c>
      <c r="P13" s="67">
        <f t="shared" si="1"/>
        <v>-2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>
      <c r="A14" s="113" t="s">
        <v>39</v>
      </c>
      <c r="B14" s="50"/>
      <c r="C14" s="63"/>
      <c r="D14" s="63">
        <v>8</v>
      </c>
      <c r="E14" s="50"/>
      <c r="F14" s="63"/>
      <c r="G14" s="63">
        <v>8</v>
      </c>
      <c r="H14" s="50">
        <v>16</v>
      </c>
      <c r="I14" s="50"/>
      <c r="J14" s="57">
        <f t="shared" si="2"/>
        <v>16</v>
      </c>
      <c r="K14" s="66">
        <f t="shared" si="0"/>
        <v>-8</v>
      </c>
      <c r="L14" s="63">
        <v>26</v>
      </c>
      <c r="M14" s="50">
        <v>31</v>
      </c>
      <c r="N14" s="50"/>
      <c r="O14" s="57">
        <f t="shared" si="3"/>
        <v>31</v>
      </c>
      <c r="P14" s="67">
        <f t="shared" si="1"/>
        <v>-5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13" t="s">
        <v>40</v>
      </c>
      <c r="B15" s="50"/>
      <c r="C15" s="63"/>
      <c r="D15" s="63">
        <v>2</v>
      </c>
      <c r="E15" s="50"/>
      <c r="F15" s="63"/>
      <c r="G15" s="63">
        <v>2</v>
      </c>
      <c r="H15" s="50">
        <v>3</v>
      </c>
      <c r="I15" s="50"/>
      <c r="J15" s="57">
        <f t="shared" si="2"/>
        <v>3</v>
      </c>
      <c r="K15" s="66">
        <f t="shared" si="0"/>
        <v>-1</v>
      </c>
      <c r="L15" s="63">
        <v>10</v>
      </c>
      <c r="M15" s="50">
        <v>8</v>
      </c>
      <c r="N15" s="50"/>
      <c r="O15" s="57">
        <f t="shared" si="3"/>
        <v>8</v>
      </c>
      <c r="P15" s="67">
        <f t="shared" si="1"/>
        <v>2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13" t="s">
        <v>41</v>
      </c>
      <c r="B16" s="50"/>
      <c r="C16" s="63"/>
      <c r="D16" s="63"/>
      <c r="E16" s="50"/>
      <c r="F16" s="63"/>
      <c r="G16" s="63"/>
      <c r="H16" s="50"/>
      <c r="I16" s="50"/>
      <c r="J16" s="57">
        <f t="shared" si="2"/>
        <v>0</v>
      </c>
      <c r="K16" s="66">
        <f t="shared" si="0"/>
        <v>0</v>
      </c>
      <c r="L16" s="63"/>
      <c r="M16" s="50"/>
      <c r="N16" s="50"/>
      <c r="O16" s="57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13" t="s">
        <v>42</v>
      </c>
      <c r="B17" s="50"/>
      <c r="C17" s="63"/>
      <c r="D17" s="63">
        <v>5</v>
      </c>
      <c r="E17" s="50"/>
      <c r="F17" s="63">
        <v>1</v>
      </c>
      <c r="G17" s="63">
        <v>4</v>
      </c>
      <c r="H17" s="50">
        <v>7</v>
      </c>
      <c r="I17" s="50"/>
      <c r="J17" s="57">
        <f t="shared" si="2"/>
        <v>7</v>
      </c>
      <c r="K17" s="66">
        <f t="shared" si="0"/>
        <v>-2</v>
      </c>
      <c r="L17" s="63">
        <v>18</v>
      </c>
      <c r="M17" s="50">
        <v>29</v>
      </c>
      <c r="N17" s="50"/>
      <c r="O17" s="57">
        <f t="shared" si="3"/>
        <v>29</v>
      </c>
      <c r="P17" s="67">
        <f t="shared" si="1"/>
        <v>-11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13" t="s">
        <v>43</v>
      </c>
      <c r="B18" s="50"/>
      <c r="C18" s="63"/>
      <c r="D18" s="63"/>
      <c r="E18" s="50">
        <v>3</v>
      </c>
      <c r="F18" s="63"/>
      <c r="G18" s="63"/>
      <c r="H18" s="50">
        <v>3</v>
      </c>
      <c r="I18" s="50"/>
      <c r="J18" s="57">
        <f t="shared" si="2"/>
        <v>3</v>
      </c>
      <c r="K18" s="66">
        <f>E18-(H18+I18)</f>
        <v>0</v>
      </c>
      <c r="L18" s="63">
        <v>7</v>
      </c>
      <c r="M18" s="50">
        <v>3</v>
      </c>
      <c r="N18" s="50"/>
      <c r="O18" s="57">
        <f t="shared" si="3"/>
        <v>3</v>
      </c>
      <c r="P18" s="67">
        <f t="shared" si="1"/>
        <v>4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13" t="s">
        <v>145</v>
      </c>
      <c r="B19" s="50"/>
      <c r="C19" s="63"/>
      <c r="D19" s="63"/>
      <c r="E19" s="50"/>
      <c r="F19" s="63"/>
      <c r="G19" s="63"/>
      <c r="H19" s="50"/>
      <c r="I19" s="50"/>
      <c r="J19" s="57">
        <f t="shared" si="2"/>
        <v>0</v>
      </c>
      <c r="K19" s="66">
        <f t="shared" si="0"/>
        <v>0</v>
      </c>
      <c r="L19" s="63"/>
      <c r="M19" s="50"/>
      <c r="N19" s="50"/>
      <c r="O19" s="57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14" t="s">
        <v>44</v>
      </c>
      <c r="B20" s="50"/>
      <c r="C20" s="63"/>
      <c r="D20" s="63"/>
      <c r="E20" s="50"/>
      <c r="F20" s="63"/>
      <c r="G20" s="63"/>
      <c r="H20" s="50"/>
      <c r="I20" s="50"/>
      <c r="J20" s="57">
        <f t="shared" si="2"/>
        <v>0</v>
      </c>
      <c r="K20" s="66">
        <f t="shared" si="0"/>
        <v>0</v>
      </c>
      <c r="L20" s="1559"/>
      <c r="M20" s="50"/>
      <c r="N20" s="50"/>
      <c r="O20" s="57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24.75">
      <c r="A21" s="114" t="s">
        <v>45</v>
      </c>
      <c r="B21" s="50"/>
      <c r="C21" s="63"/>
      <c r="D21" s="63"/>
      <c r="E21" s="50"/>
      <c r="F21" s="63"/>
      <c r="G21" s="63"/>
      <c r="H21" s="50"/>
      <c r="I21" s="50"/>
      <c r="J21" s="57">
        <f t="shared" si="2"/>
        <v>0</v>
      </c>
      <c r="K21" s="66">
        <f t="shared" si="0"/>
        <v>0</v>
      </c>
      <c r="L21" s="1559">
        <v>2</v>
      </c>
      <c r="M21" s="50"/>
      <c r="N21" s="50"/>
      <c r="O21" s="57">
        <v>2</v>
      </c>
      <c r="P21" s="67">
        <f t="shared" si="1"/>
        <v>2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38" t="s">
        <v>90</v>
      </c>
      <c r="B22" s="57"/>
      <c r="C22" s="57"/>
      <c r="D22" s="668">
        <f>SUM(D8:D21)</f>
        <v>35</v>
      </c>
      <c r="E22" s="57">
        <f t="shared" ref="E22:W22" si="5">SUM(E8:E21)</f>
        <v>6</v>
      </c>
      <c r="F22" s="57">
        <f t="shared" si="5"/>
        <v>5</v>
      </c>
      <c r="G22" s="57">
        <f t="shared" si="5"/>
        <v>33</v>
      </c>
      <c r="H22" s="57">
        <f t="shared" si="5"/>
        <v>46</v>
      </c>
      <c r="I22" s="57">
        <f t="shared" si="5"/>
        <v>2</v>
      </c>
      <c r="J22" s="57">
        <f t="shared" si="5"/>
        <v>52</v>
      </c>
      <c r="K22" s="66">
        <f t="shared" si="5"/>
        <v>-7</v>
      </c>
      <c r="L22" s="668">
        <f t="shared" si="5"/>
        <v>119</v>
      </c>
      <c r="M22" s="57">
        <f t="shared" si="5"/>
        <v>139</v>
      </c>
      <c r="N22" s="57">
        <f t="shared" si="5"/>
        <v>4</v>
      </c>
      <c r="O22" s="57">
        <f t="shared" si="5"/>
        <v>145</v>
      </c>
      <c r="P22" s="67">
        <f t="shared" si="5"/>
        <v>-24</v>
      </c>
      <c r="Q22" s="139">
        <f t="shared" si="5"/>
        <v>0</v>
      </c>
      <c r="R22" s="139">
        <f t="shared" si="5"/>
        <v>0</v>
      </c>
      <c r="S22" s="67">
        <f t="shared" si="5"/>
        <v>0</v>
      </c>
      <c r="T22" s="57">
        <f t="shared" si="5"/>
        <v>0</v>
      </c>
      <c r="U22" s="57">
        <f t="shared" si="5"/>
        <v>0</v>
      </c>
      <c r="V22" s="57">
        <f t="shared" si="5"/>
        <v>0</v>
      </c>
      <c r="W22" s="57">
        <f t="shared" si="5"/>
        <v>0</v>
      </c>
    </row>
    <row r="23" spans="1:23" ht="15.75" customHeight="1">
      <c r="A23" s="70" t="s">
        <v>146</v>
      </c>
      <c r="B23" s="69"/>
      <c r="C23" s="69"/>
      <c r="D23" s="1560"/>
      <c r="E23" s="69"/>
      <c r="F23" s="69"/>
      <c r="G23" s="69"/>
      <c r="H23" s="69"/>
      <c r="I23" s="69"/>
      <c r="J23" s="69"/>
      <c r="K23" s="69"/>
      <c r="L23" s="1560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0"/>
    </row>
  </sheetData>
  <mergeCells count="10">
    <mergeCell ref="T6:W6"/>
    <mergeCell ref="D6:S6"/>
    <mergeCell ref="A6:A7"/>
    <mergeCell ref="B6:B7"/>
    <mergeCell ref="C6:C7"/>
    <mergeCell ref="C1:W1"/>
    <mergeCell ref="C2:W2"/>
    <mergeCell ref="C3:W3"/>
    <mergeCell ref="C4:W4"/>
    <mergeCell ref="A5:W5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F13" sqref="F13"/>
    </sheetView>
  </sheetViews>
  <sheetFormatPr defaultRowHeight="12.75"/>
  <cols>
    <col min="1" max="1" width="28" style="16" customWidth="1"/>
    <col min="2" max="2" width="15" style="16" customWidth="1"/>
    <col min="3" max="3" width="11.7109375" style="16" customWidth="1"/>
    <col min="4" max="4" width="8.140625" style="16" customWidth="1"/>
    <col min="5" max="5" width="13.140625" style="16" customWidth="1"/>
    <col min="6" max="6" width="10" style="16" customWidth="1"/>
    <col min="7" max="7" width="8" style="16" customWidth="1"/>
    <col min="8" max="8" width="14.28515625" style="16" customWidth="1"/>
    <col min="9" max="9" width="11.42578125" style="16" customWidth="1"/>
    <col min="10" max="16384" width="9.140625" style="16"/>
  </cols>
  <sheetData>
    <row r="1" spans="1:9">
      <c r="A1" s="110"/>
      <c r="B1" s="111" t="s">
        <v>208</v>
      </c>
      <c r="C1" s="1839" t="s">
        <v>1847</v>
      </c>
      <c r="D1" s="1840"/>
      <c r="E1" s="1840"/>
      <c r="F1" s="1840"/>
      <c r="G1" s="1840"/>
      <c r="H1" s="1840"/>
      <c r="I1" s="1840"/>
    </row>
    <row r="2" spans="1:9">
      <c r="A2" s="110"/>
      <c r="B2" s="111" t="s">
        <v>209</v>
      </c>
      <c r="C2" s="1839">
        <v>17878735</v>
      </c>
      <c r="D2" s="1840"/>
      <c r="E2" s="1840"/>
      <c r="F2" s="1840"/>
      <c r="G2" s="1840"/>
      <c r="H2" s="1840"/>
      <c r="I2" s="1840"/>
    </row>
    <row r="3" spans="1:9">
      <c r="A3" s="110"/>
      <c r="B3" s="111" t="s">
        <v>211</v>
      </c>
      <c r="C3" s="1839" t="str">
        <f>[1]Kadar.ode.!C3</f>
        <v>30.06.2018.</v>
      </c>
      <c r="D3" s="1840"/>
      <c r="E3" s="1840"/>
      <c r="F3" s="1840"/>
      <c r="G3" s="1840"/>
      <c r="H3" s="1840"/>
      <c r="I3" s="1840"/>
    </row>
    <row r="4" spans="1:9" ht="14.25">
      <c r="A4" s="110"/>
      <c r="B4" s="111" t="s">
        <v>210</v>
      </c>
      <c r="C4" s="1830" t="s">
        <v>338</v>
      </c>
      <c r="D4" s="1831"/>
      <c r="E4" s="1831"/>
      <c r="F4" s="1831"/>
      <c r="G4" s="1831"/>
      <c r="H4" s="1831"/>
      <c r="I4" s="1831"/>
    </row>
    <row r="5" spans="1:9" ht="12" customHeight="1">
      <c r="A5" s="48"/>
      <c r="B5" s="14"/>
      <c r="C5" s="47"/>
      <c r="D5" s="33"/>
    </row>
    <row r="6" spans="1:9" ht="21.75" customHeight="1">
      <c r="A6" s="1844" t="s">
        <v>32</v>
      </c>
      <c r="B6" s="1844"/>
      <c r="C6" s="72"/>
      <c r="D6" s="72"/>
      <c r="E6" s="72"/>
      <c r="F6" s="72"/>
    </row>
    <row r="7" spans="1:9">
      <c r="A7" s="74" t="s">
        <v>147</v>
      </c>
      <c r="B7" s="78"/>
      <c r="C7" s="72"/>
      <c r="D7" s="72"/>
      <c r="E7" s="72"/>
      <c r="F7" s="72"/>
    </row>
    <row r="8" spans="1:9">
      <c r="A8" s="74" t="s">
        <v>148</v>
      </c>
      <c r="B8" s="78"/>
      <c r="C8" s="72"/>
      <c r="D8" s="72"/>
      <c r="E8" s="72"/>
      <c r="F8" s="72"/>
    </row>
    <row r="9" spans="1:9">
      <c r="A9" s="74" t="s">
        <v>90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1838" t="s">
        <v>46</v>
      </c>
      <c r="B11" s="1845" t="s">
        <v>219</v>
      </c>
      <c r="C11" s="1845"/>
      <c r="D11" s="1845"/>
      <c r="E11" s="1845"/>
      <c r="F11" s="1845"/>
      <c r="G11" s="1845"/>
      <c r="H11" s="1845" t="s">
        <v>216</v>
      </c>
      <c r="I11" s="1845"/>
    </row>
    <row r="12" spans="1:9" ht="54.75" customHeight="1">
      <c r="A12" s="1838"/>
      <c r="B12" s="137" t="s">
        <v>232</v>
      </c>
      <c r="C12" s="137" t="s">
        <v>49</v>
      </c>
      <c r="D12" s="137" t="s">
        <v>29</v>
      </c>
      <c r="E12" s="137" t="s">
        <v>233</v>
      </c>
      <c r="F12" s="137" t="s">
        <v>49</v>
      </c>
      <c r="G12" s="137" t="s">
        <v>29</v>
      </c>
      <c r="H12" s="137" t="s">
        <v>47</v>
      </c>
      <c r="I12" s="137" t="s">
        <v>50</v>
      </c>
    </row>
    <row r="13" spans="1:9">
      <c r="A13" s="132" t="s">
        <v>51</v>
      </c>
      <c r="B13" s="75"/>
      <c r="C13" s="75"/>
      <c r="D13" s="133">
        <f t="shared" ref="D13:D23" si="0">B13-C13</f>
        <v>0</v>
      </c>
      <c r="E13" s="76">
        <v>2</v>
      </c>
      <c r="F13" s="77"/>
      <c r="G13" s="133">
        <f t="shared" ref="G13:G23" si="1">E13-F13</f>
        <v>2</v>
      </c>
      <c r="H13" s="76"/>
      <c r="I13" s="77"/>
    </row>
    <row r="14" spans="1:9">
      <c r="A14" s="132" t="s">
        <v>48</v>
      </c>
      <c r="B14" s="75"/>
      <c r="C14" s="75"/>
      <c r="D14" s="133">
        <f t="shared" si="0"/>
        <v>0</v>
      </c>
      <c r="E14" s="76"/>
      <c r="F14" s="77"/>
      <c r="G14" s="133">
        <f t="shared" si="1"/>
        <v>0</v>
      </c>
      <c r="H14" s="76"/>
      <c r="I14" s="77"/>
    </row>
    <row r="15" spans="1:9">
      <c r="A15" s="132" t="s">
        <v>6966</v>
      </c>
      <c r="B15" s="75">
        <v>27</v>
      </c>
      <c r="C15" s="75">
        <v>37</v>
      </c>
      <c r="D15" s="133">
        <f t="shared" si="0"/>
        <v>-10</v>
      </c>
      <c r="E15" s="76">
        <v>124</v>
      </c>
      <c r="F15" s="77">
        <v>169</v>
      </c>
      <c r="G15" s="133">
        <f t="shared" si="1"/>
        <v>-45</v>
      </c>
      <c r="H15" s="76"/>
      <c r="I15" s="77"/>
    </row>
    <row r="16" spans="1:9">
      <c r="A16" s="132" t="s">
        <v>6967</v>
      </c>
      <c r="B16" s="75"/>
      <c r="C16" s="75"/>
      <c r="D16" s="133">
        <f t="shared" si="0"/>
        <v>0</v>
      </c>
      <c r="E16" s="76"/>
      <c r="F16" s="77"/>
      <c r="G16" s="133">
        <f t="shared" si="1"/>
        <v>0</v>
      </c>
      <c r="H16" s="76"/>
      <c r="I16" s="77"/>
    </row>
    <row r="17" spans="1:9">
      <c r="A17" s="132"/>
      <c r="B17" s="75"/>
      <c r="C17" s="75"/>
      <c r="D17" s="133">
        <f t="shared" si="0"/>
        <v>0</v>
      </c>
      <c r="E17" s="76"/>
      <c r="F17" s="77"/>
      <c r="G17" s="133">
        <f t="shared" si="1"/>
        <v>0</v>
      </c>
      <c r="H17" s="76"/>
      <c r="I17" s="77"/>
    </row>
    <row r="18" spans="1:9">
      <c r="A18" s="132"/>
      <c r="B18" s="75"/>
      <c r="C18" s="75"/>
      <c r="D18" s="133">
        <f t="shared" si="0"/>
        <v>0</v>
      </c>
      <c r="E18" s="76"/>
      <c r="F18" s="77"/>
      <c r="G18" s="133">
        <f t="shared" si="1"/>
        <v>0</v>
      </c>
      <c r="H18" s="76"/>
      <c r="I18" s="77"/>
    </row>
    <row r="19" spans="1:9">
      <c r="A19" s="132"/>
      <c r="B19" s="75"/>
      <c r="C19" s="75"/>
      <c r="D19" s="133">
        <f t="shared" si="0"/>
        <v>0</v>
      </c>
      <c r="E19" s="76"/>
      <c r="F19" s="77"/>
      <c r="G19" s="133">
        <f t="shared" si="1"/>
        <v>0</v>
      </c>
      <c r="H19" s="76"/>
      <c r="I19" s="77"/>
    </row>
    <row r="20" spans="1:9">
      <c r="A20" s="132"/>
      <c r="B20" s="75"/>
      <c r="C20" s="75"/>
      <c r="D20" s="133">
        <f t="shared" si="0"/>
        <v>0</v>
      </c>
      <c r="E20" s="76"/>
      <c r="F20" s="77"/>
      <c r="G20" s="133">
        <f t="shared" si="1"/>
        <v>0</v>
      </c>
      <c r="H20" s="76"/>
      <c r="I20" s="77"/>
    </row>
    <row r="21" spans="1:9" s="37" customFormat="1">
      <c r="A21" s="134"/>
      <c r="B21" s="75"/>
      <c r="C21" s="75"/>
      <c r="D21" s="133">
        <f t="shared" si="0"/>
        <v>0</v>
      </c>
      <c r="E21" s="76"/>
      <c r="F21" s="77"/>
      <c r="G21" s="133">
        <f t="shared" si="1"/>
        <v>0</v>
      </c>
      <c r="H21" s="76"/>
      <c r="I21" s="77"/>
    </row>
    <row r="22" spans="1:9" s="37" customFormat="1">
      <c r="A22" s="134"/>
      <c r="B22" s="75"/>
      <c r="C22" s="75"/>
      <c r="D22" s="133">
        <f t="shared" si="0"/>
        <v>0</v>
      </c>
      <c r="E22" s="76"/>
      <c r="F22" s="77"/>
      <c r="G22" s="133">
        <f t="shared" si="1"/>
        <v>0</v>
      </c>
      <c r="H22" s="76"/>
      <c r="I22" s="77"/>
    </row>
    <row r="23" spans="1:9" s="37" customFormat="1">
      <c r="A23" s="135" t="s">
        <v>2</v>
      </c>
      <c r="B23" s="78">
        <f>SUM(B13:B22)</f>
        <v>27</v>
      </c>
      <c r="C23" s="78">
        <f>SUM(C13:C22)</f>
        <v>37</v>
      </c>
      <c r="D23" s="136">
        <f t="shared" si="0"/>
        <v>-10</v>
      </c>
      <c r="E23" s="78">
        <f>SUM(E13:E22)</f>
        <v>126</v>
      </c>
      <c r="F23" s="78">
        <f>SUM(F13:F22)</f>
        <v>169</v>
      </c>
      <c r="G23" s="136">
        <f t="shared" si="1"/>
        <v>-43</v>
      </c>
      <c r="H23" s="78">
        <f>SUM(H13:H22)</f>
        <v>0</v>
      </c>
      <c r="I23" s="78">
        <f>SUM(I13:I22)</f>
        <v>0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SheetLayoutView="100" workbookViewId="0">
      <selection activeCell="A5" sqref="A5:I5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13">
      <c r="A1" s="110"/>
      <c r="B1" s="111" t="s">
        <v>208</v>
      </c>
      <c r="C1" s="1839" t="s">
        <v>1847</v>
      </c>
      <c r="D1" s="1840"/>
      <c r="E1" s="1840"/>
      <c r="F1" s="1840"/>
      <c r="G1" s="1840"/>
      <c r="H1" s="1840"/>
      <c r="I1" s="1840"/>
      <c r="J1" s="38"/>
      <c r="K1" s="38"/>
      <c r="L1" s="38"/>
      <c r="M1" s="38"/>
    </row>
    <row r="2" spans="1:13">
      <c r="A2" s="110"/>
      <c r="B2" s="111" t="s">
        <v>209</v>
      </c>
      <c r="C2" s="1839">
        <v>17878735</v>
      </c>
      <c r="D2" s="1840"/>
      <c r="E2" s="1840"/>
      <c r="F2" s="1840"/>
      <c r="G2" s="1840"/>
      <c r="H2" s="1840"/>
      <c r="I2" s="1840"/>
    </row>
    <row r="3" spans="1:13">
      <c r="A3" s="110"/>
      <c r="B3" s="111" t="s">
        <v>211</v>
      </c>
      <c r="C3" s="1839" t="str">
        <f>[1]Kadar.ode.!C3</f>
        <v>30.06.2018.</v>
      </c>
      <c r="D3" s="1840"/>
      <c r="E3" s="1840"/>
      <c r="F3" s="1840"/>
      <c r="G3" s="1840"/>
      <c r="H3" s="1840"/>
      <c r="I3" s="1840"/>
      <c r="J3" s="38"/>
      <c r="K3" s="38"/>
      <c r="L3" s="38"/>
      <c r="M3" s="38"/>
    </row>
    <row r="4" spans="1:13" ht="14.25">
      <c r="A4" s="110"/>
      <c r="B4" s="111" t="s">
        <v>210</v>
      </c>
      <c r="C4" s="1830" t="s">
        <v>234</v>
      </c>
      <c r="D4" s="1831"/>
      <c r="E4" s="1831"/>
      <c r="F4" s="1831"/>
      <c r="G4" s="1831"/>
      <c r="H4" s="1831"/>
      <c r="I4" s="1831"/>
      <c r="J4" s="38"/>
      <c r="K4" s="38"/>
      <c r="L4" s="38"/>
      <c r="M4" s="38"/>
    </row>
    <row r="5" spans="1:13">
      <c r="A5" s="1846"/>
      <c r="B5" s="1846"/>
      <c r="C5" s="1846"/>
      <c r="D5" s="1846"/>
      <c r="E5" s="1846"/>
      <c r="F5" s="1846"/>
      <c r="G5" s="1846"/>
      <c r="H5" s="1846"/>
      <c r="I5" s="1846"/>
      <c r="J5" s="39"/>
      <c r="K5" s="39"/>
      <c r="L5" s="39"/>
      <c r="M5" s="39"/>
    </row>
    <row r="6" spans="1:13" ht="123" customHeight="1" thickBot="1">
      <c r="A6" s="40"/>
      <c r="B6" s="40"/>
      <c r="C6" s="41" t="s">
        <v>219</v>
      </c>
      <c r="D6" s="41" t="s">
        <v>49</v>
      </c>
      <c r="E6" s="41" t="s">
        <v>66</v>
      </c>
      <c r="F6" s="41" t="s">
        <v>216</v>
      </c>
      <c r="G6" s="41" t="s">
        <v>235</v>
      </c>
      <c r="H6" s="41" t="s">
        <v>349</v>
      </c>
      <c r="I6" s="41" t="s">
        <v>350</v>
      </c>
      <c r="J6" s="39"/>
      <c r="K6" s="39"/>
      <c r="L6" s="39"/>
      <c r="M6" s="39"/>
    </row>
    <row r="7" spans="1:13" ht="6" customHeight="1" thickTop="1" thickBot="1">
      <c r="A7" s="40"/>
      <c r="B7" s="40"/>
      <c r="C7" s="40"/>
      <c r="D7" s="40"/>
      <c r="E7" s="40"/>
      <c r="F7" s="40"/>
      <c r="G7" s="40"/>
      <c r="H7" s="40"/>
      <c r="I7" s="39"/>
      <c r="J7" s="39"/>
      <c r="K7" s="39"/>
      <c r="L7" s="39"/>
      <c r="M7" s="39"/>
    </row>
    <row r="8" spans="1:13" ht="16.5" thickTop="1" thickBot="1">
      <c r="A8" s="40" t="s">
        <v>60</v>
      </c>
      <c r="B8" s="40"/>
      <c r="C8" s="40">
        <f>SUM([1]Kadar.ode.!I29,[1]Kadar.dne.bol.dij.!E18,[1]Kadar.zaj.med.del.!D22)</f>
        <v>180</v>
      </c>
      <c r="D8" s="79">
        <f>SUM([1]Kadar.ode.!P29,[1]Kadar.dne.bol.dij.!H18,[1]Kadar.zaj.med.del.!J22)-[1]Kadar.zaj.med.del.!E11-[1]Kadar.zaj.med.del.!J18</f>
        <v>190</v>
      </c>
      <c r="E8" s="79">
        <f t="shared" ref="E8:E13" si="0">C8-D8</f>
        <v>-10</v>
      </c>
      <c r="F8" s="40">
        <f>SUM([1]Kadar.ode.!AD29,[1]Kadar.dne.bol.dij.!P18,[1]Kadar.zaj.med.del.!T22)</f>
        <v>0</v>
      </c>
      <c r="G8" s="40">
        <f t="shared" ref="G8:G13" si="1">SUM(C8,F8)</f>
        <v>180</v>
      </c>
      <c r="H8" s="40"/>
      <c r="I8" s="151">
        <v>3</v>
      </c>
      <c r="J8" s="39"/>
      <c r="K8" s="39"/>
      <c r="L8" s="39"/>
      <c r="M8" s="39"/>
    </row>
    <row r="9" spans="1:13" ht="16.5" thickTop="1" thickBot="1">
      <c r="A9" s="40" t="s">
        <v>61</v>
      </c>
      <c r="B9" s="40"/>
      <c r="C9" s="40">
        <f>SUM([1]Kadar.zaj.med.del.!E22)</f>
        <v>6</v>
      </c>
      <c r="D9" s="40">
        <f>SUM([1]Kadar.zaj.med.del.!H18)+([1]Kadar.zaj.med.del.!J11-[1]Kadar.zaj.med.del.!D11)</f>
        <v>8</v>
      </c>
      <c r="E9" s="40">
        <f t="shared" si="0"/>
        <v>-2</v>
      </c>
      <c r="F9" s="40">
        <f>SUM([1]Kadar.zaj.med.del.!U22)</f>
        <v>0</v>
      </c>
      <c r="G9" s="40">
        <f t="shared" si="1"/>
        <v>6</v>
      </c>
      <c r="H9" s="40"/>
      <c r="I9" s="40"/>
      <c r="J9" s="39"/>
      <c r="K9" s="39"/>
      <c r="L9" s="39"/>
      <c r="M9" s="39"/>
    </row>
    <row r="10" spans="1:13" ht="16.5" thickTop="1" thickBot="1">
      <c r="A10" s="40" t="s">
        <v>62</v>
      </c>
      <c r="B10" s="40"/>
      <c r="C10" s="40">
        <f>SUM([1]Kadar.ode.!R29,[1]Kadar.dne.bol.dij.!J18,[1]Kadar.zaj.med.del.!L22)</f>
        <v>535</v>
      </c>
      <c r="D10" s="79">
        <f>SUM([1]Kadar.ode.!X29,[1]Kadar.dne.bol.dij.!K18,[1]Kadar.zaj.med.del.!O22)</f>
        <v>626</v>
      </c>
      <c r="E10" s="40">
        <f t="shared" si="0"/>
        <v>-91</v>
      </c>
      <c r="F10" s="40">
        <f>SUM([1]Kadar.ode.!AE29,[1]Kadar.dne.bol.dij.!Q18,[1]Kadar.zaj.med.del.!V22)</f>
        <v>0</v>
      </c>
      <c r="G10" s="40">
        <f t="shared" si="1"/>
        <v>535</v>
      </c>
      <c r="H10" s="40">
        <v>18</v>
      </c>
      <c r="I10" s="40">
        <v>21</v>
      </c>
    </row>
    <row r="11" spans="1:13" ht="16.5" thickTop="1" thickBot="1">
      <c r="A11" s="40" t="s">
        <v>63</v>
      </c>
      <c r="B11" s="40"/>
      <c r="C11" s="40">
        <f>SUM([1]Kadar.ode.!Z29,[1]Kadar.dne.bol.dij.!M18,[1]Kadar.zaj.med.del.!Q22)</f>
        <v>4</v>
      </c>
      <c r="D11" s="40">
        <f>SUM([1]Kadar.ode.!AA29,[1]Kadar.ode.!AB29,[1]Kadar.dne.bol.dij.!N18,[1]Kadar.zaj.med.del.!R22)</f>
        <v>7</v>
      </c>
      <c r="E11" s="40">
        <f t="shared" si="0"/>
        <v>-3</v>
      </c>
      <c r="F11" s="40">
        <f>SUM([1]Kadar.ode.!AF29,[1]Kadar.dne.bol.dij.!R18,[1]Kadar.zaj.med.del.!W22)</f>
        <v>0</v>
      </c>
      <c r="G11" s="40">
        <f t="shared" si="1"/>
        <v>4</v>
      </c>
      <c r="H11" s="40"/>
      <c r="I11" s="40"/>
    </row>
    <row r="12" spans="1:13" ht="16.5" thickTop="1" thickBot="1">
      <c r="A12" s="40" t="s">
        <v>64</v>
      </c>
      <c r="B12" s="40"/>
      <c r="C12" s="40">
        <f>SUM([1]Kadar.nem.!B23)</f>
        <v>27</v>
      </c>
      <c r="D12" s="40">
        <f>SUM([1]Kadar.nem.!C23)</f>
        <v>37</v>
      </c>
      <c r="E12" s="40">
        <f t="shared" si="0"/>
        <v>-10</v>
      </c>
      <c r="F12" s="40">
        <f>SUM([1]Kadar.nem.!H23)</f>
        <v>0</v>
      </c>
      <c r="G12" s="40">
        <f t="shared" si="1"/>
        <v>27</v>
      </c>
      <c r="H12" s="40"/>
      <c r="I12" s="40">
        <v>4</v>
      </c>
    </row>
    <row r="13" spans="1:13" ht="16.5" thickTop="1" thickBot="1">
      <c r="A13" s="40" t="s">
        <v>65</v>
      </c>
      <c r="B13" s="40"/>
      <c r="C13" s="40">
        <f>SUM([1]Kadar.nem.!E23)</f>
        <v>126</v>
      </c>
      <c r="D13" s="40">
        <f>SUM([1]Kadar.nem.!F23)</f>
        <v>169</v>
      </c>
      <c r="E13" s="40">
        <f t="shared" si="0"/>
        <v>-43</v>
      </c>
      <c r="F13" s="40">
        <f>SUM([1]Kadar.nem.!I23)</f>
        <v>0</v>
      </c>
      <c r="G13" s="40">
        <f t="shared" si="1"/>
        <v>126</v>
      </c>
      <c r="H13" s="40">
        <v>4</v>
      </c>
      <c r="I13" s="40">
        <v>24</v>
      </c>
    </row>
    <row r="14" spans="1:13" ht="16.5" thickTop="1" thickBot="1">
      <c r="A14" s="40" t="s">
        <v>2</v>
      </c>
      <c r="B14" s="40"/>
      <c r="C14" s="40">
        <f>SUM(C8:C13)</f>
        <v>878</v>
      </c>
      <c r="D14" s="40">
        <f>SUM(D8:D13)</f>
        <v>1037</v>
      </c>
      <c r="E14" s="40">
        <f>SUM(E8:E13)</f>
        <v>-159</v>
      </c>
      <c r="F14" s="40">
        <f>SUM(F8:F13)</f>
        <v>0</v>
      </c>
      <c r="G14" s="40">
        <f>SUM(G8:G13)</f>
        <v>878</v>
      </c>
      <c r="H14" s="40">
        <v>22</v>
      </c>
      <c r="I14" s="40">
        <v>52</v>
      </c>
    </row>
    <row r="15" spans="1:13" ht="13.5" thickTop="1"/>
  </sheetData>
  <mergeCells count="5">
    <mergeCell ref="C1:I1"/>
    <mergeCell ref="C2:I2"/>
    <mergeCell ref="C3:I3"/>
    <mergeCell ref="C4:I4"/>
    <mergeCell ref="A5:I5"/>
  </mergeCells>
  <phoneticPr fontId="10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4"/>
  <sheetViews>
    <sheetView view="pageBreakPreview" zoomScale="60" zoomScaleNormal="110" workbookViewId="0">
      <selection activeCell="P80" sqref="P80"/>
    </sheetView>
  </sheetViews>
  <sheetFormatPr defaultRowHeight="12.75"/>
  <cols>
    <col min="1" max="1" width="7.5703125" customWidth="1"/>
    <col min="2" max="2" width="26.7109375" customWidth="1"/>
    <col min="4" max="4" width="5.5703125" customWidth="1"/>
    <col min="5" max="5" width="9.85546875" customWidth="1"/>
    <col min="6" max="6" width="7.5703125" customWidth="1"/>
    <col min="7" max="7" width="6.5703125" customWidth="1"/>
    <col min="8" max="8" width="6.85546875" customWidth="1"/>
    <col min="9" max="9" width="8" customWidth="1"/>
    <col min="10" max="10" width="7.5703125" customWidth="1"/>
    <col min="13" max="13" width="9.140625" style="643"/>
  </cols>
  <sheetData>
    <row r="1" spans="1:12">
      <c r="A1" s="255"/>
      <c r="B1" s="256" t="s">
        <v>208</v>
      </c>
      <c r="C1" s="1853" t="s">
        <v>1847</v>
      </c>
      <c r="D1" s="1854"/>
      <c r="E1" s="1854"/>
      <c r="F1" s="1854"/>
      <c r="G1" s="1854"/>
      <c r="H1" s="1854"/>
      <c r="I1" s="1854"/>
      <c r="J1" s="1854"/>
      <c r="K1" s="1854"/>
      <c r="L1" s="1854"/>
    </row>
    <row r="2" spans="1:12" ht="14.25" customHeight="1">
      <c r="A2" s="255"/>
      <c r="B2" s="256" t="s">
        <v>209</v>
      </c>
      <c r="C2" s="1853">
        <v>17878735</v>
      </c>
      <c r="D2" s="1854"/>
      <c r="E2" s="1854"/>
      <c r="F2" s="1854"/>
      <c r="G2" s="1854"/>
      <c r="H2" s="1854"/>
      <c r="I2" s="1854"/>
      <c r="J2" s="1854"/>
      <c r="K2" s="1854"/>
      <c r="L2" s="1854"/>
    </row>
    <row r="3" spans="1:12">
      <c r="A3" s="1855" t="s">
        <v>211</v>
      </c>
      <c r="B3" s="1856"/>
      <c r="C3" s="1857">
        <v>43281</v>
      </c>
      <c r="D3" s="1858"/>
      <c r="E3" s="1858"/>
      <c r="F3" s="1858"/>
      <c r="G3" s="1858"/>
      <c r="H3" s="1858"/>
      <c r="I3" s="1858"/>
      <c r="J3" s="1858"/>
      <c r="K3" s="1858"/>
      <c r="L3" s="1858"/>
    </row>
    <row r="4" spans="1:12" ht="14.25">
      <c r="A4" s="110"/>
      <c r="B4" s="111" t="s">
        <v>210</v>
      </c>
      <c r="C4" s="1830" t="s">
        <v>241</v>
      </c>
      <c r="D4" s="1831"/>
      <c r="E4" s="1831"/>
      <c r="F4" s="1831"/>
      <c r="G4" s="1831"/>
      <c r="H4" s="1831"/>
      <c r="I4" s="1831"/>
      <c r="J4" s="1831"/>
      <c r="K4" s="1831"/>
      <c r="L4" s="1831"/>
    </row>
    <row r="6" spans="1:12" ht="33.75" customHeight="1">
      <c r="A6" s="1861" t="s">
        <v>206</v>
      </c>
      <c r="B6" s="1861" t="s">
        <v>56</v>
      </c>
      <c r="C6" s="1863" t="s">
        <v>236</v>
      </c>
      <c r="D6" s="1864"/>
      <c r="E6" s="1860" t="s">
        <v>237</v>
      </c>
      <c r="F6" s="1860"/>
      <c r="G6" s="1860" t="s">
        <v>240</v>
      </c>
      <c r="H6" s="1860"/>
      <c r="I6" s="1863" t="s">
        <v>238</v>
      </c>
      <c r="J6" s="1865"/>
      <c r="K6" s="1860" t="s">
        <v>239</v>
      </c>
      <c r="L6" s="1860"/>
    </row>
    <row r="7" spans="1:12" ht="27.75" customHeight="1" thickBot="1">
      <c r="A7" s="1862"/>
      <c r="B7" s="1862"/>
      <c r="C7" s="206" t="s">
        <v>1</v>
      </c>
      <c r="D7" s="207" t="s">
        <v>0</v>
      </c>
      <c r="E7" s="208" t="s">
        <v>1828</v>
      </c>
      <c r="F7" s="208" t="s">
        <v>1829</v>
      </c>
      <c r="G7" s="208" t="s">
        <v>1828</v>
      </c>
      <c r="H7" s="208" t="s">
        <v>1829</v>
      </c>
      <c r="I7" s="208" t="s">
        <v>1828</v>
      </c>
      <c r="J7" s="208" t="s">
        <v>1829</v>
      </c>
      <c r="K7" s="208" t="s">
        <v>1828</v>
      </c>
      <c r="L7" s="208" t="s">
        <v>1829</v>
      </c>
    </row>
    <row r="8" spans="1:12" ht="14.25" thickTop="1" thickBot="1">
      <c r="A8" s="1859">
        <v>112</v>
      </c>
      <c r="B8" s="1859" t="s">
        <v>1830</v>
      </c>
      <c r="C8" s="209" t="s">
        <v>2</v>
      </c>
      <c r="D8" s="210">
        <v>40</v>
      </c>
      <c r="E8" s="211">
        <v>735</v>
      </c>
      <c r="F8" s="212">
        <v>415</v>
      </c>
      <c r="G8" s="213">
        <v>8810</v>
      </c>
      <c r="H8" s="212">
        <v>4837</v>
      </c>
      <c r="I8" s="214">
        <f t="shared" ref="I8:I39" si="0">G8/E8</f>
        <v>11.986394557823129</v>
      </c>
      <c r="J8" s="215">
        <f t="shared" ref="J8:J39" si="1">H8/F8</f>
        <v>11.655421686746989</v>
      </c>
      <c r="K8" s="216">
        <f t="shared" ref="K8:K39" si="2">+G8/(365*D8)*100</f>
        <v>60.342465753424655</v>
      </c>
      <c r="L8" s="217">
        <f t="shared" ref="L8:L39" si="3">H8/(182*D8)*100</f>
        <v>66.442307692307693</v>
      </c>
    </row>
    <row r="9" spans="1:12" ht="14.25" thickTop="1" thickBot="1">
      <c r="A9" s="1850"/>
      <c r="B9" s="1850"/>
      <c r="C9" s="218" t="s">
        <v>4</v>
      </c>
      <c r="D9" s="219"/>
      <c r="E9" s="220"/>
      <c r="F9" s="221"/>
      <c r="G9" s="222"/>
      <c r="H9" s="221"/>
      <c r="I9" s="214" t="e">
        <f t="shared" si="0"/>
        <v>#DIV/0!</v>
      </c>
      <c r="J9" s="215" t="e">
        <f t="shared" si="1"/>
        <v>#DIV/0!</v>
      </c>
      <c r="K9" s="216" t="e">
        <f t="shared" si="2"/>
        <v>#DIV/0!</v>
      </c>
      <c r="L9" s="217" t="e">
        <f t="shared" si="3"/>
        <v>#DIV/0!</v>
      </c>
    </row>
    <row r="10" spans="1:12" ht="14.25" thickTop="1" thickBot="1">
      <c r="A10" s="1850"/>
      <c r="B10" s="1850"/>
      <c r="C10" s="218" t="s">
        <v>5</v>
      </c>
      <c r="D10" s="219"/>
      <c r="E10" s="220"/>
      <c r="F10" s="221"/>
      <c r="G10" s="222"/>
      <c r="H10" s="221"/>
      <c r="I10" s="214" t="e">
        <f t="shared" si="0"/>
        <v>#DIV/0!</v>
      </c>
      <c r="J10" s="215" t="e">
        <f t="shared" si="1"/>
        <v>#DIV/0!</v>
      </c>
      <c r="K10" s="216" t="e">
        <f t="shared" si="2"/>
        <v>#DIV/0!</v>
      </c>
      <c r="L10" s="217" t="e">
        <f t="shared" si="3"/>
        <v>#DIV/0!</v>
      </c>
    </row>
    <row r="11" spans="1:12" ht="14.25" thickTop="1" thickBot="1">
      <c r="A11" s="1851"/>
      <c r="B11" s="1851"/>
      <c r="C11" s="224" t="s">
        <v>9</v>
      </c>
      <c r="D11" s="225">
        <v>40</v>
      </c>
      <c r="E11" s="226">
        <v>735</v>
      </c>
      <c r="F11" s="227">
        <v>415</v>
      </c>
      <c r="G11" s="228">
        <v>8810</v>
      </c>
      <c r="H11" s="227">
        <v>4837</v>
      </c>
      <c r="I11" s="214">
        <f t="shared" si="0"/>
        <v>11.986394557823129</v>
      </c>
      <c r="J11" s="229">
        <f t="shared" si="1"/>
        <v>11.655421686746989</v>
      </c>
      <c r="K11" s="216">
        <f t="shared" si="2"/>
        <v>60.342465753424655</v>
      </c>
      <c r="L11" s="217">
        <f t="shared" si="3"/>
        <v>66.442307692307693</v>
      </c>
    </row>
    <row r="12" spans="1:12" ht="14.25" thickTop="1" thickBot="1">
      <c r="A12" s="1859">
        <v>110</v>
      </c>
      <c r="B12" s="1859" t="s">
        <v>1831</v>
      </c>
      <c r="C12" s="209" t="s">
        <v>2</v>
      </c>
      <c r="D12" s="210">
        <v>85</v>
      </c>
      <c r="E12" s="211">
        <v>3910</v>
      </c>
      <c r="F12" s="212">
        <f>F13+F15</f>
        <v>1969</v>
      </c>
      <c r="G12" s="213">
        <v>21490</v>
      </c>
      <c r="H12" s="212">
        <f>H13+H15</f>
        <v>11059</v>
      </c>
      <c r="I12" s="214">
        <f t="shared" si="0"/>
        <v>5.4961636828644505</v>
      </c>
      <c r="J12" s="223">
        <f t="shared" si="1"/>
        <v>5.6165566277298122</v>
      </c>
      <c r="K12" s="216">
        <f t="shared" si="2"/>
        <v>69.266720386784854</v>
      </c>
      <c r="L12" s="217">
        <f t="shared" si="3"/>
        <v>71.48674854557207</v>
      </c>
    </row>
    <row r="13" spans="1:12" ht="14.25" thickTop="1" thickBot="1">
      <c r="A13" s="1850"/>
      <c r="B13" s="1850"/>
      <c r="C13" s="218" t="s">
        <v>4</v>
      </c>
      <c r="D13" s="219">
        <v>10</v>
      </c>
      <c r="E13" s="220">
        <v>1330</v>
      </c>
      <c r="F13" s="221">
        <v>256</v>
      </c>
      <c r="G13" s="222">
        <v>3000</v>
      </c>
      <c r="H13" s="221">
        <v>1429</v>
      </c>
      <c r="I13" s="214">
        <f t="shared" si="0"/>
        <v>2.255639097744361</v>
      </c>
      <c r="J13" s="215">
        <f t="shared" si="1"/>
        <v>5.58203125</v>
      </c>
      <c r="K13" s="216">
        <f t="shared" si="2"/>
        <v>82.191780821917803</v>
      </c>
      <c r="L13" s="223">
        <f t="shared" si="3"/>
        <v>78.516483516483518</v>
      </c>
    </row>
    <row r="14" spans="1:12" ht="14.25" thickTop="1" thickBot="1">
      <c r="A14" s="1850"/>
      <c r="B14" s="1850"/>
      <c r="C14" s="218" t="s">
        <v>5</v>
      </c>
      <c r="D14" s="219"/>
      <c r="E14" s="220"/>
      <c r="F14" s="221"/>
      <c r="G14" s="222"/>
      <c r="H14" s="221"/>
      <c r="I14" s="214" t="e">
        <f t="shared" si="0"/>
        <v>#DIV/0!</v>
      </c>
      <c r="J14" s="215" t="e">
        <f t="shared" si="1"/>
        <v>#DIV/0!</v>
      </c>
      <c r="K14" s="216" t="e">
        <f t="shared" si="2"/>
        <v>#DIV/0!</v>
      </c>
      <c r="L14" s="223" t="e">
        <f t="shared" si="3"/>
        <v>#DIV/0!</v>
      </c>
    </row>
    <row r="15" spans="1:12" ht="14.25" thickTop="1" thickBot="1">
      <c r="A15" s="1851"/>
      <c r="B15" s="1851"/>
      <c r="C15" s="224" t="s">
        <v>9</v>
      </c>
      <c r="D15" s="225">
        <v>75</v>
      </c>
      <c r="E15" s="226">
        <v>2580</v>
      </c>
      <c r="F15" s="227">
        <v>1713</v>
      </c>
      <c r="G15" s="228">
        <v>18490</v>
      </c>
      <c r="H15" s="227">
        <v>9630</v>
      </c>
      <c r="I15" s="214">
        <f t="shared" si="0"/>
        <v>7.166666666666667</v>
      </c>
      <c r="J15" s="229">
        <f t="shared" si="1"/>
        <v>5.6217162872154116</v>
      </c>
      <c r="K15" s="216">
        <f t="shared" si="2"/>
        <v>67.543378995433784</v>
      </c>
      <c r="L15" s="230">
        <f t="shared" si="3"/>
        <v>70.549450549450555</v>
      </c>
    </row>
    <row r="16" spans="1:12" ht="14.25" thickTop="1" thickBot="1">
      <c r="A16" s="1859">
        <v>310</v>
      </c>
      <c r="B16" s="1859" t="s">
        <v>1832</v>
      </c>
      <c r="C16" s="209" t="s">
        <v>2</v>
      </c>
      <c r="D16" s="210">
        <v>30</v>
      </c>
      <c r="E16" s="211">
        <v>1220</v>
      </c>
      <c r="F16" s="212">
        <v>562</v>
      </c>
      <c r="G16" s="213">
        <v>4840</v>
      </c>
      <c r="H16" s="212">
        <v>2383</v>
      </c>
      <c r="I16" s="214">
        <f t="shared" si="0"/>
        <v>3.9672131147540983</v>
      </c>
      <c r="J16" s="217">
        <f t="shared" si="1"/>
        <v>4.2402135231316729</v>
      </c>
      <c r="K16" s="216">
        <f t="shared" si="2"/>
        <v>44.200913242009129</v>
      </c>
      <c r="L16" s="217">
        <f t="shared" si="3"/>
        <v>43.644688644688642</v>
      </c>
    </row>
    <row r="17" spans="1:12" ht="14.25" thickTop="1" thickBot="1">
      <c r="A17" s="1850"/>
      <c r="B17" s="1850"/>
      <c r="C17" s="218" t="s">
        <v>4</v>
      </c>
      <c r="D17" s="219"/>
      <c r="E17" s="220"/>
      <c r="F17" s="221"/>
      <c r="G17" s="222"/>
      <c r="H17" s="221"/>
      <c r="I17" s="214" t="e">
        <f t="shared" si="0"/>
        <v>#DIV/0!</v>
      </c>
      <c r="J17" s="215" t="e">
        <f t="shared" si="1"/>
        <v>#DIV/0!</v>
      </c>
      <c r="K17" s="216" t="e">
        <f t="shared" si="2"/>
        <v>#DIV/0!</v>
      </c>
      <c r="L17" s="223" t="e">
        <f t="shared" si="3"/>
        <v>#DIV/0!</v>
      </c>
    </row>
    <row r="18" spans="1:12" ht="14.25" thickTop="1" thickBot="1">
      <c r="A18" s="1850"/>
      <c r="B18" s="1850"/>
      <c r="C18" s="218" t="s">
        <v>5</v>
      </c>
      <c r="D18" s="219"/>
      <c r="E18" s="220"/>
      <c r="F18" s="221"/>
      <c r="G18" s="222"/>
      <c r="H18" s="221"/>
      <c r="I18" s="214" t="e">
        <f t="shared" si="0"/>
        <v>#DIV/0!</v>
      </c>
      <c r="J18" s="215" t="e">
        <f t="shared" si="1"/>
        <v>#DIV/0!</v>
      </c>
      <c r="K18" s="216" t="e">
        <f t="shared" si="2"/>
        <v>#DIV/0!</v>
      </c>
      <c r="L18" s="223" t="e">
        <f t="shared" si="3"/>
        <v>#DIV/0!</v>
      </c>
    </row>
    <row r="19" spans="1:12" ht="14.25" thickTop="1" thickBot="1">
      <c r="A19" s="1851"/>
      <c r="B19" s="1851"/>
      <c r="C19" s="224" t="s">
        <v>9</v>
      </c>
      <c r="D19" s="225">
        <v>30</v>
      </c>
      <c r="E19" s="226">
        <v>1220</v>
      </c>
      <c r="F19" s="227">
        <v>562</v>
      </c>
      <c r="G19" s="228">
        <v>4840</v>
      </c>
      <c r="H19" s="227">
        <v>2383</v>
      </c>
      <c r="I19" s="214">
        <f t="shared" si="0"/>
        <v>3.9672131147540983</v>
      </c>
      <c r="J19" s="229">
        <f t="shared" si="1"/>
        <v>4.2402135231316729</v>
      </c>
      <c r="K19" s="216">
        <f t="shared" si="2"/>
        <v>44.200913242009129</v>
      </c>
      <c r="L19" s="230">
        <f t="shared" si="3"/>
        <v>43.644688644688642</v>
      </c>
    </row>
    <row r="20" spans="1:12" ht="14.25" thickTop="1" thickBot="1">
      <c r="A20" s="1866">
        <v>140</v>
      </c>
      <c r="B20" s="1866" t="s">
        <v>1833</v>
      </c>
      <c r="C20" s="231" t="s">
        <v>2</v>
      </c>
      <c r="D20" s="232">
        <v>13</v>
      </c>
      <c r="E20" s="211">
        <v>215</v>
      </c>
      <c r="F20" s="233">
        <v>102</v>
      </c>
      <c r="G20" s="213">
        <v>1370</v>
      </c>
      <c r="H20" s="233">
        <v>705</v>
      </c>
      <c r="I20" s="214">
        <f t="shared" si="0"/>
        <v>6.3720930232558137</v>
      </c>
      <c r="J20" s="217">
        <f t="shared" si="1"/>
        <v>6.9117647058823533</v>
      </c>
      <c r="K20" s="216">
        <f t="shared" si="2"/>
        <v>28.872497365648051</v>
      </c>
      <c r="L20" s="217">
        <f t="shared" si="3"/>
        <v>29.797125950972102</v>
      </c>
    </row>
    <row r="21" spans="1:12" ht="14.25" thickTop="1" thickBot="1">
      <c r="A21" s="1867"/>
      <c r="B21" s="1867"/>
      <c r="C21" s="218" t="s">
        <v>4</v>
      </c>
      <c r="D21" s="234"/>
      <c r="E21" s="220"/>
      <c r="F21" s="235"/>
      <c r="G21" s="222"/>
      <c r="H21" s="235"/>
      <c r="I21" s="214" t="e">
        <f t="shared" si="0"/>
        <v>#DIV/0!</v>
      </c>
      <c r="J21" s="215" t="e">
        <f t="shared" si="1"/>
        <v>#DIV/0!</v>
      </c>
      <c r="K21" s="216" t="e">
        <f t="shared" si="2"/>
        <v>#DIV/0!</v>
      </c>
      <c r="L21" s="223" t="e">
        <f t="shared" si="3"/>
        <v>#DIV/0!</v>
      </c>
    </row>
    <row r="22" spans="1:12" ht="14.25" thickTop="1" thickBot="1">
      <c r="A22" s="1867"/>
      <c r="B22" s="1867"/>
      <c r="C22" s="218" t="s">
        <v>5</v>
      </c>
      <c r="D22" s="234"/>
      <c r="E22" s="220"/>
      <c r="F22" s="235"/>
      <c r="G22" s="222"/>
      <c r="H22" s="235"/>
      <c r="I22" s="214" t="e">
        <f t="shared" si="0"/>
        <v>#DIV/0!</v>
      </c>
      <c r="J22" s="215" t="e">
        <f t="shared" si="1"/>
        <v>#DIV/0!</v>
      </c>
      <c r="K22" s="216" t="e">
        <f t="shared" si="2"/>
        <v>#DIV/0!</v>
      </c>
      <c r="L22" s="223" t="e">
        <f t="shared" si="3"/>
        <v>#DIV/0!</v>
      </c>
    </row>
    <row r="23" spans="1:12" ht="14.25" thickTop="1" thickBot="1">
      <c r="A23" s="1868"/>
      <c r="B23" s="1868"/>
      <c r="C23" s="236" t="s">
        <v>9</v>
      </c>
      <c r="D23" s="237">
        <v>13</v>
      </c>
      <c r="E23" s="226">
        <v>215</v>
      </c>
      <c r="F23" s="238">
        <v>102</v>
      </c>
      <c r="G23" s="228">
        <v>1370</v>
      </c>
      <c r="H23" s="238">
        <v>705</v>
      </c>
      <c r="I23" s="214">
        <f t="shared" si="0"/>
        <v>6.3720930232558137</v>
      </c>
      <c r="J23" s="229">
        <f t="shared" si="1"/>
        <v>6.9117647058823533</v>
      </c>
      <c r="K23" s="216">
        <f t="shared" si="2"/>
        <v>28.872497365648051</v>
      </c>
      <c r="L23" s="230">
        <f t="shared" si="3"/>
        <v>29.797125950972102</v>
      </c>
    </row>
    <row r="24" spans="1:12" ht="14.25" thickTop="1" thickBot="1">
      <c r="A24" s="1859">
        <v>120</v>
      </c>
      <c r="B24" s="1859" t="s">
        <v>1834</v>
      </c>
      <c r="C24" s="231" t="s">
        <v>2</v>
      </c>
      <c r="D24" s="232">
        <v>30</v>
      </c>
      <c r="E24" s="211">
        <v>945</v>
      </c>
      <c r="F24" s="212">
        <v>448</v>
      </c>
      <c r="G24" s="213">
        <v>6890</v>
      </c>
      <c r="H24" s="212">
        <v>3462</v>
      </c>
      <c r="I24" s="214">
        <f t="shared" si="0"/>
        <v>7.2910052910052912</v>
      </c>
      <c r="J24" s="217">
        <f t="shared" si="1"/>
        <v>7.7276785714285712</v>
      </c>
      <c r="K24" s="216">
        <f t="shared" si="2"/>
        <v>62.922374429223751</v>
      </c>
      <c r="L24" s="217">
        <f t="shared" si="3"/>
        <v>63.406593406593402</v>
      </c>
    </row>
    <row r="25" spans="1:12" ht="14.25" thickTop="1" thickBot="1">
      <c r="A25" s="1850"/>
      <c r="B25" s="1850"/>
      <c r="C25" s="218" t="s">
        <v>4</v>
      </c>
      <c r="D25" s="234"/>
      <c r="E25" s="220"/>
      <c r="F25" s="221"/>
      <c r="G25" s="222"/>
      <c r="H25" s="221"/>
      <c r="I25" s="214" t="e">
        <f t="shared" si="0"/>
        <v>#DIV/0!</v>
      </c>
      <c r="J25" s="215" t="e">
        <f t="shared" si="1"/>
        <v>#DIV/0!</v>
      </c>
      <c r="K25" s="216" t="e">
        <f t="shared" si="2"/>
        <v>#DIV/0!</v>
      </c>
      <c r="L25" s="223" t="e">
        <f t="shared" si="3"/>
        <v>#DIV/0!</v>
      </c>
    </row>
    <row r="26" spans="1:12" ht="14.25" thickTop="1" thickBot="1">
      <c r="A26" s="1850"/>
      <c r="B26" s="1850"/>
      <c r="C26" s="218" t="s">
        <v>5</v>
      </c>
      <c r="D26" s="234"/>
      <c r="E26" s="220"/>
      <c r="F26" s="221"/>
      <c r="G26" s="222"/>
      <c r="H26" s="221"/>
      <c r="I26" s="214" t="e">
        <f t="shared" si="0"/>
        <v>#DIV/0!</v>
      </c>
      <c r="J26" s="215" t="e">
        <f t="shared" si="1"/>
        <v>#DIV/0!</v>
      </c>
      <c r="K26" s="216" t="e">
        <f t="shared" si="2"/>
        <v>#DIV/0!</v>
      </c>
      <c r="L26" s="223" t="e">
        <f t="shared" si="3"/>
        <v>#DIV/0!</v>
      </c>
    </row>
    <row r="27" spans="1:12" ht="14.25" thickTop="1" thickBot="1">
      <c r="A27" s="1851"/>
      <c r="B27" s="1851"/>
      <c r="C27" s="236" t="s">
        <v>9</v>
      </c>
      <c r="D27" s="237">
        <v>30</v>
      </c>
      <c r="E27" s="226">
        <v>945</v>
      </c>
      <c r="F27" s="227">
        <v>448</v>
      </c>
      <c r="G27" s="228">
        <v>6890</v>
      </c>
      <c r="H27" s="227">
        <v>3642</v>
      </c>
      <c r="I27" s="214">
        <f t="shared" si="0"/>
        <v>7.2910052910052912</v>
      </c>
      <c r="J27" s="229">
        <f t="shared" si="1"/>
        <v>8.1294642857142865</v>
      </c>
      <c r="K27" s="216">
        <f t="shared" si="2"/>
        <v>62.922374429223751</v>
      </c>
      <c r="L27" s="230">
        <f t="shared" si="3"/>
        <v>66.703296703296701</v>
      </c>
    </row>
    <row r="28" spans="1:12" ht="14.25" thickTop="1" thickBot="1">
      <c r="A28" s="1859">
        <v>130</v>
      </c>
      <c r="B28" s="1859" t="s">
        <v>1835</v>
      </c>
      <c r="C28" s="231" t="s">
        <v>2</v>
      </c>
      <c r="D28" s="232">
        <v>40</v>
      </c>
      <c r="E28" s="211">
        <v>475</v>
      </c>
      <c r="F28" s="212">
        <v>186</v>
      </c>
      <c r="G28" s="239">
        <v>7675</v>
      </c>
      <c r="H28" s="212">
        <v>2991</v>
      </c>
      <c r="I28" s="214">
        <f t="shared" si="0"/>
        <v>16.157894736842106</v>
      </c>
      <c r="J28" s="217">
        <f t="shared" si="1"/>
        <v>16.080645161290324</v>
      </c>
      <c r="K28" s="216">
        <f t="shared" si="2"/>
        <v>52.568493150684937</v>
      </c>
      <c r="L28" s="217">
        <f t="shared" si="3"/>
        <v>41.085164835164832</v>
      </c>
    </row>
    <row r="29" spans="1:12" ht="14.25" thickTop="1" thickBot="1">
      <c r="A29" s="1850"/>
      <c r="B29" s="1850"/>
      <c r="C29" s="218" t="s">
        <v>4</v>
      </c>
      <c r="D29" s="234"/>
      <c r="E29" s="220"/>
      <c r="F29" s="221"/>
      <c r="G29" s="240"/>
      <c r="H29" s="221"/>
      <c r="I29" s="214" t="e">
        <f t="shared" si="0"/>
        <v>#DIV/0!</v>
      </c>
      <c r="J29" s="215" t="e">
        <f t="shared" si="1"/>
        <v>#DIV/0!</v>
      </c>
      <c r="K29" s="216" t="e">
        <f t="shared" si="2"/>
        <v>#DIV/0!</v>
      </c>
      <c r="L29" s="223" t="e">
        <f t="shared" si="3"/>
        <v>#DIV/0!</v>
      </c>
    </row>
    <row r="30" spans="1:12" ht="14.25" thickTop="1" thickBot="1">
      <c r="A30" s="1850"/>
      <c r="B30" s="1850"/>
      <c r="C30" s="218" t="s">
        <v>5</v>
      </c>
      <c r="D30" s="234"/>
      <c r="E30" s="220"/>
      <c r="F30" s="221"/>
      <c r="G30" s="240"/>
      <c r="H30" s="221"/>
      <c r="I30" s="214" t="e">
        <f t="shared" si="0"/>
        <v>#DIV/0!</v>
      </c>
      <c r="J30" s="215" t="e">
        <f t="shared" si="1"/>
        <v>#DIV/0!</v>
      </c>
      <c r="K30" s="216" t="e">
        <f t="shared" si="2"/>
        <v>#DIV/0!</v>
      </c>
      <c r="L30" s="223" t="e">
        <f t="shared" si="3"/>
        <v>#DIV/0!</v>
      </c>
    </row>
    <row r="31" spans="1:12" ht="14.25" thickTop="1" thickBot="1">
      <c r="A31" s="1851"/>
      <c r="B31" s="1851"/>
      <c r="C31" s="236" t="s">
        <v>9</v>
      </c>
      <c r="D31" s="237">
        <v>40</v>
      </c>
      <c r="E31" s="226">
        <v>475</v>
      </c>
      <c r="F31" s="227">
        <v>186</v>
      </c>
      <c r="G31" s="241">
        <v>7675</v>
      </c>
      <c r="H31" s="227">
        <v>2991</v>
      </c>
      <c r="I31" s="214">
        <f t="shared" si="0"/>
        <v>16.157894736842106</v>
      </c>
      <c r="J31" s="229">
        <f t="shared" si="1"/>
        <v>16.080645161290324</v>
      </c>
      <c r="K31" s="216">
        <f t="shared" si="2"/>
        <v>52.568493150684937</v>
      </c>
      <c r="L31" s="230">
        <f t="shared" si="3"/>
        <v>41.085164835164832</v>
      </c>
    </row>
    <row r="32" spans="1:12" ht="14.25" thickTop="1" thickBot="1">
      <c r="A32" s="1859">
        <v>150</v>
      </c>
      <c r="B32" s="1859" t="s">
        <v>1836</v>
      </c>
      <c r="C32" s="231" t="s">
        <v>2</v>
      </c>
      <c r="D32" s="232">
        <v>8</v>
      </c>
      <c r="E32" s="211">
        <v>85</v>
      </c>
      <c r="F32" s="212">
        <v>49</v>
      </c>
      <c r="G32" s="213">
        <v>885</v>
      </c>
      <c r="H32" s="212">
        <v>331</v>
      </c>
      <c r="I32" s="214">
        <f t="shared" si="0"/>
        <v>10.411764705882353</v>
      </c>
      <c r="J32" s="217">
        <f t="shared" si="1"/>
        <v>6.7551020408163263</v>
      </c>
      <c r="K32" s="216">
        <f t="shared" si="2"/>
        <v>30.30821917808219</v>
      </c>
      <c r="L32" s="217">
        <f t="shared" si="3"/>
        <v>22.733516483516482</v>
      </c>
    </row>
    <row r="33" spans="1:12" ht="14.25" thickTop="1" thickBot="1">
      <c r="A33" s="1850"/>
      <c r="B33" s="1850"/>
      <c r="C33" s="218" t="s">
        <v>4</v>
      </c>
      <c r="D33" s="234"/>
      <c r="E33" s="220"/>
      <c r="F33" s="221"/>
      <c r="G33" s="222"/>
      <c r="H33" s="221"/>
      <c r="I33" s="214" t="e">
        <f t="shared" si="0"/>
        <v>#DIV/0!</v>
      </c>
      <c r="J33" s="215" t="e">
        <f t="shared" si="1"/>
        <v>#DIV/0!</v>
      </c>
      <c r="K33" s="216" t="e">
        <f t="shared" si="2"/>
        <v>#DIV/0!</v>
      </c>
      <c r="L33" s="223" t="e">
        <f t="shared" si="3"/>
        <v>#DIV/0!</v>
      </c>
    </row>
    <row r="34" spans="1:12" ht="14.25" thickTop="1" thickBot="1">
      <c r="A34" s="1850"/>
      <c r="B34" s="1850"/>
      <c r="C34" s="218" t="s">
        <v>5</v>
      </c>
      <c r="D34" s="234"/>
      <c r="E34" s="220"/>
      <c r="F34" s="221"/>
      <c r="G34" s="222"/>
      <c r="H34" s="221"/>
      <c r="I34" s="214" t="e">
        <f t="shared" si="0"/>
        <v>#DIV/0!</v>
      </c>
      <c r="J34" s="215" t="e">
        <f t="shared" si="1"/>
        <v>#DIV/0!</v>
      </c>
      <c r="K34" s="216" t="e">
        <f t="shared" si="2"/>
        <v>#DIV/0!</v>
      </c>
      <c r="L34" s="223" t="e">
        <f t="shared" si="3"/>
        <v>#DIV/0!</v>
      </c>
    </row>
    <row r="35" spans="1:12" ht="14.25" thickTop="1" thickBot="1">
      <c r="A35" s="1851"/>
      <c r="B35" s="1851"/>
      <c r="C35" s="236" t="s">
        <v>9</v>
      </c>
      <c r="D35" s="237">
        <v>8</v>
      </c>
      <c r="E35" s="226">
        <v>85</v>
      </c>
      <c r="F35" s="227">
        <v>49</v>
      </c>
      <c r="G35" s="228">
        <v>885</v>
      </c>
      <c r="H35" s="227">
        <v>331</v>
      </c>
      <c r="I35" s="214">
        <f t="shared" si="0"/>
        <v>10.411764705882353</v>
      </c>
      <c r="J35" s="229">
        <f t="shared" si="1"/>
        <v>6.7551020408163263</v>
      </c>
      <c r="K35" s="216">
        <f t="shared" si="2"/>
        <v>30.30821917808219</v>
      </c>
      <c r="L35" s="230">
        <f t="shared" si="3"/>
        <v>22.733516483516482</v>
      </c>
    </row>
    <row r="36" spans="1:12" ht="14.25" thickTop="1" thickBot="1">
      <c r="A36" s="1859">
        <v>420.40100000000001</v>
      </c>
      <c r="B36" s="1859" t="s">
        <v>1837</v>
      </c>
      <c r="C36" s="231" t="s">
        <v>2</v>
      </c>
      <c r="D36" s="232">
        <v>80</v>
      </c>
      <c r="E36" s="211">
        <v>3770</v>
      </c>
      <c r="F36" s="212">
        <v>1822</v>
      </c>
      <c r="G36" s="213">
        <v>18110</v>
      </c>
      <c r="H36" s="212">
        <v>9289</v>
      </c>
      <c r="I36" s="214">
        <f t="shared" si="0"/>
        <v>4.8037135278514587</v>
      </c>
      <c r="J36" s="217">
        <f t="shared" si="1"/>
        <v>5.0982436882546649</v>
      </c>
      <c r="K36" s="216">
        <f t="shared" si="2"/>
        <v>62.020547945205486</v>
      </c>
      <c r="L36" s="217">
        <f t="shared" si="3"/>
        <v>63.79807692307692</v>
      </c>
    </row>
    <row r="37" spans="1:12" ht="14.25" thickTop="1" thickBot="1">
      <c r="A37" s="1850"/>
      <c r="B37" s="1850"/>
      <c r="C37" s="218" t="s">
        <v>4</v>
      </c>
      <c r="D37" s="234"/>
      <c r="E37" s="220"/>
      <c r="F37" s="221"/>
      <c r="G37" s="222"/>
      <c r="H37" s="221"/>
      <c r="I37" s="214" t="e">
        <f t="shared" si="0"/>
        <v>#DIV/0!</v>
      </c>
      <c r="J37" s="215" t="e">
        <f t="shared" si="1"/>
        <v>#DIV/0!</v>
      </c>
      <c r="K37" s="216" t="e">
        <f t="shared" si="2"/>
        <v>#DIV/0!</v>
      </c>
      <c r="L37" s="223" t="e">
        <f t="shared" si="3"/>
        <v>#DIV/0!</v>
      </c>
    </row>
    <row r="38" spans="1:12" ht="14.25" thickTop="1" thickBot="1">
      <c r="A38" s="1850"/>
      <c r="B38" s="1850"/>
      <c r="C38" s="218" t="s">
        <v>5</v>
      </c>
      <c r="D38" s="234"/>
      <c r="E38" s="220"/>
      <c r="F38" s="221"/>
      <c r="G38" s="222"/>
      <c r="H38" s="221"/>
      <c r="I38" s="214" t="e">
        <f t="shared" si="0"/>
        <v>#DIV/0!</v>
      </c>
      <c r="J38" s="215" t="e">
        <f t="shared" si="1"/>
        <v>#DIV/0!</v>
      </c>
      <c r="K38" s="216" t="e">
        <f t="shared" si="2"/>
        <v>#DIV/0!</v>
      </c>
      <c r="L38" s="223" t="e">
        <f t="shared" si="3"/>
        <v>#DIV/0!</v>
      </c>
    </row>
    <row r="39" spans="1:12" ht="14.25" thickTop="1" thickBot="1">
      <c r="A39" s="1851"/>
      <c r="B39" s="1851"/>
      <c r="C39" s="236" t="s">
        <v>9</v>
      </c>
      <c r="D39" s="237">
        <v>80</v>
      </c>
      <c r="E39" s="226">
        <v>3770</v>
      </c>
      <c r="F39" s="227">
        <v>1822</v>
      </c>
      <c r="G39" s="228">
        <v>18110</v>
      </c>
      <c r="H39" s="227">
        <v>9289</v>
      </c>
      <c r="I39" s="214">
        <f t="shared" si="0"/>
        <v>4.8037135278514587</v>
      </c>
      <c r="J39" s="229">
        <f t="shared" si="1"/>
        <v>5.0982436882546649</v>
      </c>
      <c r="K39" s="216">
        <f t="shared" si="2"/>
        <v>62.020547945205486</v>
      </c>
      <c r="L39" s="230">
        <f t="shared" si="3"/>
        <v>63.79807692307692</v>
      </c>
    </row>
    <row r="40" spans="1:12" ht="14.25" thickTop="1" thickBot="1">
      <c r="A40" s="1859">
        <v>422</v>
      </c>
      <c r="B40" s="1859" t="s">
        <v>1838</v>
      </c>
      <c r="C40" s="231" t="s">
        <v>2</v>
      </c>
      <c r="D40" s="232">
        <v>30</v>
      </c>
      <c r="E40" s="211">
        <v>905</v>
      </c>
      <c r="F40" s="212">
        <v>425</v>
      </c>
      <c r="G40" s="213">
        <v>4870</v>
      </c>
      <c r="H40" s="212">
        <v>2360</v>
      </c>
      <c r="I40" s="214">
        <f t="shared" ref="I40:I71" si="4">G40/E40</f>
        <v>5.3812154696132595</v>
      </c>
      <c r="J40" s="217">
        <f t="shared" ref="J40:J71" si="5">H40/F40</f>
        <v>5.552941176470588</v>
      </c>
      <c r="K40" s="216">
        <f t="shared" ref="K40:K71" si="6">+G40/(365*D40)*100</f>
        <v>44.474885844748854</v>
      </c>
      <c r="L40" s="217">
        <f t="shared" ref="L40:L71" si="7">H40/(182*D40)*100</f>
        <v>43.223443223443226</v>
      </c>
    </row>
    <row r="41" spans="1:12" ht="14.25" thickTop="1" thickBot="1">
      <c r="A41" s="1850"/>
      <c r="B41" s="1850"/>
      <c r="C41" s="218" t="s">
        <v>4</v>
      </c>
      <c r="D41" s="234"/>
      <c r="E41" s="220"/>
      <c r="F41" s="221"/>
      <c r="G41" s="222"/>
      <c r="H41" s="221"/>
      <c r="I41" s="214" t="e">
        <f t="shared" si="4"/>
        <v>#DIV/0!</v>
      </c>
      <c r="J41" s="215" t="e">
        <f t="shared" si="5"/>
        <v>#DIV/0!</v>
      </c>
      <c r="K41" s="216" t="e">
        <f t="shared" si="6"/>
        <v>#DIV/0!</v>
      </c>
      <c r="L41" s="223" t="e">
        <f t="shared" si="7"/>
        <v>#DIV/0!</v>
      </c>
    </row>
    <row r="42" spans="1:12" ht="14.25" thickTop="1" thickBot="1">
      <c r="A42" s="1850"/>
      <c r="B42" s="1850"/>
      <c r="C42" s="218" t="s">
        <v>5</v>
      </c>
      <c r="D42" s="234"/>
      <c r="E42" s="220"/>
      <c r="F42" s="221"/>
      <c r="G42" s="222"/>
      <c r="H42" s="221"/>
      <c r="I42" s="214" t="e">
        <f t="shared" si="4"/>
        <v>#DIV/0!</v>
      </c>
      <c r="J42" s="215" t="e">
        <f t="shared" si="5"/>
        <v>#DIV/0!</v>
      </c>
      <c r="K42" s="216" t="e">
        <f t="shared" si="6"/>
        <v>#DIV/0!</v>
      </c>
      <c r="L42" s="223" t="e">
        <f t="shared" si="7"/>
        <v>#DIV/0!</v>
      </c>
    </row>
    <row r="43" spans="1:12" ht="14.25" thickTop="1" thickBot="1">
      <c r="A43" s="1851"/>
      <c r="B43" s="1851"/>
      <c r="C43" s="236" t="s">
        <v>9</v>
      </c>
      <c r="D43" s="237">
        <v>30</v>
      </c>
      <c r="E43" s="226">
        <v>905</v>
      </c>
      <c r="F43" s="227">
        <v>425</v>
      </c>
      <c r="G43" s="228">
        <v>4870</v>
      </c>
      <c r="H43" s="227">
        <v>2360</v>
      </c>
      <c r="I43" s="214">
        <f t="shared" si="4"/>
        <v>5.3812154696132595</v>
      </c>
      <c r="J43" s="229">
        <f t="shared" si="5"/>
        <v>5.552941176470588</v>
      </c>
      <c r="K43" s="216">
        <f t="shared" si="6"/>
        <v>44.474885844748854</v>
      </c>
      <c r="L43" s="230">
        <f t="shared" si="7"/>
        <v>43.223443223443226</v>
      </c>
    </row>
    <row r="44" spans="1:12" ht="14.25" thickTop="1" thickBot="1">
      <c r="A44" s="1859">
        <v>421</v>
      </c>
      <c r="B44" s="1859" t="s">
        <v>1839</v>
      </c>
      <c r="C44" s="231" t="s">
        <v>2</v>
      </c>
      <c r="D44" s="232">
        <v>35</v>
      </c>
      <c r="E44" s="211">
        <v>860</v>
      </c>
      <c r="F44" s="212">
        <v>408</v>
      </c>
      <c r="G44" s="213">
        <v>6750</v>
      </c>
      <c r="H44" s="212">
        <v>3623</v>
      </c>
      <c r="I44" s="214">
        <f t="shared" si="4"/>
        <v>7.8488372093023253</v>
      </c>
      <c r="J44" s="217">
        <f t="shared" si="5"/>
        <v>8.8799019607843146</v>
      </c>
      <c r="K44" s="216">
        <f t="shared" si="6"/>
        <v>52.837573385518589</v>
      </c>
      <c r="L44" s="217">
        <f t="shared" si="7"/>
        <v>56.875981161695442</v>
      </c>
    </row>
    <row r="45" spans="1:12" ht="14.25" thickTop="1" thickBot="1">
      <c r="A45" s="1850"/>
      <c r="B45" s="1850"/>
      <c r="C45" s="218" t="s">
        <v>4</v>
      </c>
      <c r="D45" s="234"/>
      <c r="E45" s="220"/>
      <c r="F45" s="221"/>
      <c r="G45" s="222"/>
      <c r="H45" s="221"/>
      <c r="I45" s="214" t="e">
        <f t="shared" si="4"/>
        <v>#DIV/0!</v>
      </c>
      <c r="J45" s="215" t="e">
        <f t="shared" si="5"/>
        <v>#DIV/0!</v>
      </c>
      <c r="K45" s="216" t="e">
        <f t="shared" si="6"/>
        <v>#DIV/0!</v>
      </c>
      <c r="L45" s="223" t="e">
        <f t="shared" si="7"/>
        <v>#DIV/0!</v>
      </c>
    </row>
    <row r="46" spans="1:12" ht="14.25" thickTop="1" thickBot="1">
      <c r="A46" s="1850"/>
      <c r="B46" s="1850"/>
      <c r="C46" s="218" t="s">
        <v>5</v>
      </c>
      <c r="D46" s="234"/>
      <c r="E46" s="220"/>
      <c r="F46" s="221"/>
      <c r="G46" s="222"/>
      <c r="H46" s="221"/>
      <c r="I46" s="214" t="e">
        <f t="shared" si="4"/>
        <v>#DIV/0!</v>
      </c>
      <c r="J46" s="215" t="e">
        <f t="shared" si="5"/>
        <v>#DIV/0!</v>
      </c>
      <c r="K46" s="216" t="e">
        <f t="shared" si="6"/>
        <v>#DIV/0!</v>
      </c>
      <c r="L46" s="223" t="e">
        <f t="shared" si="7"/>
        <v>#DIV/0!</v>
      </c>
    </row>
    <row r="47" spans="1:12" ht="14.25" thickTop="1" thickBot="1">
      <c r="A47" s="1851"/>
      <c r="B47" s="1851"/>
      <c r="C47" s="236" t="s">
        <v>9</v>
      </c>
      <c r="D47" s="237">
        <v>35</v>
      </c>
      <c r="E47" s="226">
        <v>860</v>
      </c>
      <c r="F47" s="227">
        <v>408</v>
      </c>
      <c r="G47" s="228">
        <v>6750</v>
      </c>
      <c r="H47" s="227">
        <v>3623</v>
      </c>
      <c r="I47" s="214">
        <f t="shared" si="4"/>
        <v>7.8488372093023253</v>
      </c>
      <c r="J47" s="229">
        <f t="shared" si="5"/>
        <v>8.8799019607843146</v>
      </c>
      <c r="K47" s="216">
        <f t="shared" si="6"/>
        <v>52.837573385518589</v>
      </c>
      <c r="L47" s="230">
        <f t="shared" si="7"/>
        <v>56.875981161695442</v>
      </c>
    </row>
    <row r="48" spans="1:12" ht="14.25" thickTop="1" thickBot="1">
      <c r="A48" s="1859">
        <v>211</v>
      </c>
      <c r="B48" s="1859" t="s">
        <v>1840</v>
      </c>
      <c r="C48" s="231" t="s">
        <v>2</v>
      </c>
      <c r="D48" s="232">
        <v>30</v>
      </c>
      <c r="E48" s="211">
        <v>1425</v>
      </c>
      <c r="F48" s="212">
        <v>703</v>
      </c>
      <c r="G48" s="213">
        <v>4955</v>
      </c>
      <c r="H48" s="212">
        <v>2007</v>
      </c>
      <c r="I48" s="214">
        <f t="shared" si="4"/>
        <v>3.4771929824561405</v>
      </c>
      <c r="J48" s="217">
        <f t="shared" si="5"/>
        <v>2.8549075391180656</v>
      </c>
      <c r="K48" s="216">
        <f t="shared" si="6"/>
        <v>45.251141552511413</v>
      </c>
      <c r="L48" s="217">
        <f t="shared" si="7"/>
        <v>36.758241758241759</v>
      </c>
    </row>
    <row r="49" spans="1:12" ht="14.25" thickTop="1" thickBot="1">
      <c r="A49" s="1850"/>
      <c r="B49" s="1850"/>
      <c r="C49" s="218" t="s">
        <v>4</v>
      </c>
      <c r="D49" s="234"/>
      <c r="E49" s="220"/>
      <c r="F49" s="221"/>
      <c r="G49" s="222"/>
      <c r="H49" s="221"/>
      <c r="I49" s="214" t="e">
        <f t="shared" si="4"/>
        <v>#DIV/0!</v>
      </c>
      <c r="J49" s="215" t="e">
        <f t="shared" si="5"/>
        <v>#DIV/0!</v>
      </c>
      <c r="K49" s="216" t="e">
        <f t="shared" si="6"/>
        <v>#DIV/0!</v>
      </c>
      <c r="L49" s="223" t="e">
        <f t="shared" si="7"/>
        <v>#DIV/0!</v>
      </c>
    </row>
    <row r="50" spans="1:12" ht="14.25" thickTop="1" thickBot="1">
      <c r="A50" s="1850"/>
      <c r="B50" s="1850"/>
      <c r="C50" s="218" t="s">
        <v>5</v>
      </c>
      <c r="D50" s="234"/>
      <c r="E50" s="220"/>
      <c r="F50" s="221"/>
      <c r="G50" s="222"/>
      <c r="H50" s="221"/>
      <c r="I50" s="214" t="e">
        <f t="shared" si="4"/>
        <v>#DIV/0!</v>
      </c>
      <c r="J50" s="215" t="e">
        <f t="shared" si="5"/>
        <v>#DIV/0!</v>
      </c>
      <c r="K50" s="216" t="e">
        <f t="shared" si="6"/>
        <v>#DIV/0!</v>
      </c>
      <c r="L50" s="223" t="e">
        <f t="shared" si="7"/>
        <v>#DIV/0!</v>
      </c>
    </row>
    <row r="51" spans="1:12" ht="14.25" thickTop="1" thickBot="1">
      <c r="A51" s="1851"/>
      <c r="B51" s="1851"/>
      <c r="C51" s="236" t="s">
        <v>9</v>
      </c>
      <c r="D51" s="237">
        <v>30</v>
      </c>
      <c r="E51" s="226">
        <v>1425</v>
      </c>
      <c r="F51" s="227">
        <v>703</v>
      </c>
      <c r="G51" s="228">
        <v>4955</v>
      </c>
      <c r="H51" s="227">
        <v>2007</v>
      </c>
      <c r="I51" s="214">
        <f t="shared" si="4"/>
        <v>3.4771929824561405</v>
      </c>
      <c r="J51" s="229">
        <f t="shared" si="5"/>
        <v>2.8549075391180656</v>
      </c>
      <c r="K51" s="216">
        <f t="shared" si="6"/>
        <v>45.251141552511413</v>
      </c>
      <c r="L51" s="230">
        <f t="shared" si="7"/>
        <v>36.758241758241759</v>
      </c>
    </row>
    <row r="52" spans="1:12" ht="14.25" thickTop="1" thickBot="1">
      <c r="A52" s="1859">
        <v>220</v>
      </c>
      <c r="B52" s="1859" t="s">
        <v>1841</v>
      </c>
      <c r="C52" s="231" t="s">
        <v>2</v>
      </c>
      <c r="D52" s="232">
        <v>30</v>
      </c>
      <c r="E52" s="211">
        <v>1295</v>
      </c>
      <c r="F52" s="212">
        <v>550</v>
      </c>
      <c r="G52" s="213">
        <v>7790</v>
      </c>
      <c r="H52" s="212">
        <v>3263</v>
      </c>
      <c r="I52" s="214">
        <f t="shared" si="4"/>
        <v>6.0154440154440154</v>
      </c>
      <c r="J52" s="217">
        <f t="shared" si="5"/>
        <v>5.9327272727272726</v>
      </c>
      <c r="K52" s="216">
        <f t="shared" si="6"/>
        <v>71.141552511415526</v>
      </c>
      <c r="L52" s="217">
        <f t="shared" si="7"/>
        <v>59.761904761904759</v>
      </c>
    </row>
    <row r="53" spans="1:12" ht="14.25" thickTop="1" thickBot="1">
      <c r="A53" s="1850"/>
      <c r="B53" s="1850"/>
      <c r="C53" s="218" t="s">
        <v>4</v>
      </c>
      <c r="D53" s="234"/>
      <c r="E53" s="220"/>
      <c r="F53" s="221"/>
      <c r="G53" s="222"/>
      <c r="H53" s="221"/>
      <c r="I53" s="214" t="e">
        <f t="shared" si="4"/>
        <v>#DIV/0!</v>
      </c>
      <c r="J53" s="215" t="e">
        <f t="shared" si="5"/>
        <v>#DIV/0!</v>
      </c>
      <c r="K53" s="216" t="e">
        <f t="shared" si="6"/>
        <v>#DIV/0!</v>
      </c>
      <c r="L53" s="223" t="e">
        <f t="shared" si="7"/>
        <v>#DIV/0!</v>
      </c>
    </row>
    <row r="54" spans="1:12" ht="14.25" thickTop="1" thickBot="1">
      <c r="A54" s="1850"/>
      <c r="B54" s="1850"/>
      <c r="C54" s="218" t="s">
        <v>5</v>
      </c>
      <c r="D54" s="234"/>
      <c r="E54" s="220"/>
      <c r="F54" s="221"/>
      <c r="G54" s="222"/>
      <c r="H54" s="221"/>
      <c r="I54" s="214" t="e">
        <f t="shared" si="4"/>
        <v>#DIV/0!</v>
      </c>
      <c r="J54" s="215" t="e">
        <f t="shared" si="5"/>
        <v>#DIV/0!</v>
      </c>
      <c r="K54" s="216" t="e">
        <f t="shared" si="6"/>
        <v>#DIV/0!</v>
      </c>
      <c r="L54" s="223" t="e">
        <f t="shared" si="7"/>
        <v>#DIV/0!</v>
      </c>
    </row>
    <row r="55" spans="1:12" ht="14.25" thickTop="1" thickBot="1">
      <c r="A55" s="1851"/>
      <c r="B55" s="1851"/>
      <c r="C55" s="236" t="s">
        <v>9</v>
      </c>
      <c r="D55" s="237">
        <v>30</v>
      </c>
      <c r="E55" s="226">
        <v>1295</v>
      </c>
      <c r="F55" s="227">
        <v>550</v>
      </c>
      <c r="G55" s="228">
        <v>7790</v>
      </c>
      <c r="H55" s="227">
        <v>3263</v>
      </c>
      <c r="I55" s="214">
        <f t="shared" si="4"/>
        <v>6.0154440154440154</v>
      </c>
      <c r="J55" s="229">
        <f t="shared" si="5"/>
        <v>5.9327272727272726</v>
      </c>
      <c r="K55" s="216">
        <f t="shared" si="6"/>
        <v>71.141552511415526</v>
      </c>
      <c r="L55" s="230">
        <f t="shared" si="7"/>
        <v>59.761904761904759</v>
      </c>
    </row>
    <row r="56" spans="1:12" ht="14.25" thickTop="1" thickBot="1">
      <c r="A56" s="1859">
        <v>434</v>
      </c>
      <c r="B56" s="1859" t="s">
        <v>1842</v>
      </c>
      <c r="C56" s="231" t="s">
        <v>2</v>
      </c>
      <c r="D56" s="232">
        <v>15</v>
      </c>
      <c r="E56" s="211">
        <v>815</v>
      </c>
      <c r="F56" s="212">
        <v>525</v>
      </c>
      <c r="G56" s="213">
        <v>2840</v>
      </c>
      <c r="H56" s="212">
        <v>1613</v>
      </c>
      <c r="I56" s="214">
        <f t="shared" si="4"/>
        <v>3.4846625766871164</v>
      </c>
      <c r="J56" s="217">
        <f t="shared" si="5"/>
        <v>3.0723809523809522</v>
      </c>
      <c r="K56" s="216">
        <f t="shared" si="6"/>
        <v>51.87214611872146</v>
      </c>
      <c r="L56" s="217">
        <f t="shared" si="7"/>
        <v>59.084249084249088</v>
      </c>
    </row>
    <row r="57" spans="1:12" ht="14.25" thickTop="1" thickBot="1">
      <c r="A57" s="1850"/>
      <c r="B57" s="1850"/>
      <c r="C57" s="218" t="s">
        <v>4</v>
      </c>
      <c r="D57" s="234"/>
      <c r="E57" s="220"/>
      <c r="F57" s="221"/>
      <c r="G57" s="222"/>
      <c r="H57" s="221"/>
      <c r="I57" s="214" t="e">
        <f t="shared" si="4"/>
        <v>#DIV/0!</v>
      </c>
      <c r="J57" s="215" t="e">
        <f t="shared" si="5"/>
        <v>#DIV/0!</v>
      </c>
      <c r="K57" s="216" t="e">
        <f t="shared" si="6"/>
        <v>#DIV/0!</v>
      </c>
      <c r="L57" s="223" t="e">
        <f t="shared" si="7"/>
        <v>#DIV/0!</v>
      </c>
    </row>
    <row r="58" spans="1:12" ht="14.25" thickTop="1" thickBot="1">
      <c r="A58" s="1850"/>
      <c r="B58" s="1850"/>
      <c r="C58" s="218" t="s">
        <v>5</v>
      </c>
      <c r="D58" s="234"/>
      <c r="E58" s="220"/>
      <c r="F58" s="221"/>
      <c r="G58" s="222"/>
      <c r="H58" s="221"/>
      <c r="I58" s="214" t="e">
        <f t="shared" si="4"/>
        <v>#DIV/0!</v>
      </c>
      <c r="J58" s="215" t="e">
        <f t="shared" si="5"/>
        <v>#DIV/0!</v>
      </c>
      <c r="K58" s="216" t="e">
        <f t="shared" si="6"/>
        <v>#DIV/0!</v>
      </c>
      <c r="L58" s="223" t="e">
        <f t="shared" si="7"/>
        <v>#DIV/0!</v>
      </c>
    </row>
    <row r="59" spans="1:12" ht="14.25" thickTop="1" thickBot="1">
      <c r="A59" s="1851"/>
      <c r="B59" s="1851"/>
      <c r="C59" s="236" t="s">
        <v>9</v>
      </c>
      <c r="D59" s="237">
        <v>15</v>
      </c>
      <c r="E59" s="226">
        <v>815</v>
      </c>
      <c r="F59" s="227">
        <v>525</v>
      </c>
      <c r="G59" s="228">
        <v>2840</v>
      </c>
      <c r="H59" s="227">
        <v>1613</v>
      </c>
      <c r="I59" s="214">
        <f t="shared" si="4"/>
        <v>3.4846625766871164</v>
      </c>
      <c r="J59" s="229">
        <f t="shared" si="5"/>
        <v>3.0723809523809522</v>
      </c>
      <c r="K59" s="216">
        <f t="shared" si="6"/>
        <v>51.87214611872146</v>
      </c>
      <c r="L59" s="230">
        <f t="shared" si="7"/>
        <v>59.084249084249088</v>
      </c>
    </row>
    <row r="60" spans="1:12" ht="14.25" thickTop="1" thickBot="1">
      <c r="A60" s="1859">
        <v>433</v>
      </c>
      <c r="B60" s="1859" t="s">
        <v>1843</v>
      </c>
      <c r="C60" s="231" t="s">
        <v>2</v>
      </c>
      <c r="D60" s="232">
        <v>15</v>
      </c>
      <c r="E60" s="211">
        <v>1300</v>
      </c>
      <c r="F60" s="212">
        <v>634</v>
      </c>
      <c r="G60" s="213">
        <v>4120</v>
      </c>
      <c r="H60" s="212">
        <v>1891</v>
      </c>
      <c r="I60" s="214">
        <f t="shared" si="4"/>
        <v>3.1692307692307691</v>
      </c>
      <c r="J60" s="217">
        <f t="shared" si="5"/>
        <v>2.9826498422712935</v>
      </c>
      <c r="K60" s="216">
        <f t="shared" si="6"/>
        <v>75.251141552511413</v>
      </c>
      <c r="L60" s="217">
        <f t="shared" si="7"/>
        <v>69.26739926739927</v>
      </c>
    </row>
    <row r="61" spans="1:12" ht="14.25" thickTop="1" thickBot="1">
      <c r="A61" s="1850"/>
      <c r="B61" s="1850"/>
      <c r="C61" s="218" t="s">
        <v>4</v>
      </c>
      <c r="D61" s="234"/>
      <c r="E61" s="220"/>
      <c r="F61" s="221"/>
      <c r="G61" s="222"/>
      <c r="H61" s="221"/>
      <c r="I61" s="214" t="e">
        <f t="shared" si="4"/>
        <v>#DIV/0!</v>
      </c>
      <c r="J61" s="215" t="e">
        <f t="shared" si="5"/>
        <v>#DIV/0!</v>
      </c>
      <c r="K61" s="216" t="e">
        <f t="shared" si="6"/>
        <v>#DIV/0!</v>
      </c>
      <c r="L61" s="223" t="e">
        <f t="shared" si="7"/>
        <v>#DIV/0!</v>
      </c>
    </row>
    <row r="62" spans="1:12" ht="14.25" thickTop="1" thickBot="1">
      <c r="A62" s="1850"/>
      <c r="B62" s="1850"/>
      <c r="C62" s="218" t="s">
        <v>5</v>
      </c>
      <c r="D62" s="234"/>
      <c r="E62" s="220"/>
      <c r="F62" s="221"/>
      <c r="G62" s="222"/>
      <c r="H62" s="221"/>
      <c r="I62" s="214" t="e">
        <f t="shared" si="4"/>
        <v>#DIV/0!</v>
      </c>
      <c r="J62" s="215" t="e">
        <f t="shared" si="5"/>
        <v>#DIV/0!</v>
      </c>
      <c r="K62" s="216" t="e">
        <f t="shared" si="6"/>
        <v>#DIV/0!</v>
      </c>
      <c r="L62" s="223" t="e">
        <f t="shared" si="7"/>
        <v>#DIV/0!</v>
      </c>
    </row>
    <row r="63" spans="1:12" ht="14.25" thickTop="1" thickBot="1">
      <c r="A63" s="1851"/>
      <c r="B63" s="1851"/>
      <c r="C63" s="236" t="s">
        <v>9</v>
      </c>
      <c r="D63" s="237">
        <v>15</v>
      </c>
      <c r="E63" s="226">
        <v>1300</v>
      </c>
      <c r="F63" s="227">
        <v>634</v>
      </c>
      <c r="G63" s="228">
        <v>4120</v>
      </c>
      <c r="H63" s="227">
        <v>1891</v>
      </c>
      <c r="I63" s="214">
        <f t="shared" si="4"/>
        <v>3.1692307692307691</v>
      </c>
      <c r="J63" s="229">
        <f t="shared" si="5"/>
        <v>2.9826498422712935</v>
      </c>
      <c r="K63" s="216">
        <f t="shared" si="6"/>
        <v>75.251141552511413</v>
      </c>
      <c r="L63" s="230">
        <f t="shared" si="7"/>
        <v>69.26739926739927</v>
      </c>
    </row>
    <row r="64" spans="1:12" ht="14.25" thickTop="1" thickBot="1">
      <c r="A64" s="1859">
        <v>901</v>
      </c>
      <c r="B64" s="1859" t="s">
        <v>1844</v>
      </c>
      <c r="C64" s="231" t="s">
        <v>2</v>
      </c>
      <c r="D64" s="232">
        <v>16</v>
      </c>
      <c r="E64" s="211">
        <v>885</v>
      </c>
      <c r="F64" s="212">
        <v>394</v>
      </c>
      <c r="G64" s="213">
        <v>4030</v>
      </c>
      <c r="H64" s="212">
        <v>1941</v>
      </c>
      <c r="I64" s="214">
        <f t="shared" si="4"/>
        <v>4.5536723163841808</v>
      </c>
      <c r="J64" s="217">
        <f t="shared" si="5"/>
        <v>4.9263959390862944</v>
      </c>
      <c r="K64" s="216">
        <f t="shared" si="6"/>
        <v>69.006849315068493</v>
      </c>
      <c r="L64" s="217">
        <f t="shared" si="7"/>
        <v>66.655219780219781</v>
      </c>
    </row>
    <row r="65" spans="1:12" ht="14.25" thickTop="1" thickBot="1">
      <c r="A65" s="1850"/>
      <c r="B65" s="1850"/>
      <c r="C65" s="218" t="s">
        <v>4</v>
      </c>
      <c r="D65" s="234">
        <v>16</v>
      </c>
      <c r="E65" s="220">
        <v>885</v>
      </c>
      <c r="F65" s="221">
        <v>394</v>
      </c>
      <c r="G65" s="222">
        <v>4030</v>
      </c>
      <c r="H65" s="221">
        <v>1941</v>
      </c>
      <c r="I65" s="214">
        <f t="shared" si="4"/>
        <v>4.5536723163841808</v>
      </c>
      <c r="J65" s="215">
        <f t="shared" si="5"/>
        <v>4.9263959390862944</v>
      </c>
      <c r="K65" s="216">
        <f t="shared" si="6"/>
        <v>69.006849315068493</v>
      </c>
      <c r="L65" s="223">
        <f t="shared" si="7"/>
        <v>66.655219780219781</v>
      </c>
    </row>
    <row r="66" spans="1:12" ht="14.25" thickTop="1" thickBot="1">
      <c r="A66" s="1850"/>
      <c r="B66" s="1850"/>
      <c r="C66" s="218" t="s">
        <v>5</v>
      </c>
      <c r="D66" s="234"/>
      <c r="E66" s="220"/>
      <c r="F66" s="221"/>
      <c r="G66" s="222"/>
      <c r="H66" s="221"/>
      <c r="I66" s="214" t="e">
        <f t="shared" si="4"/>
        <v>#DIV/0!</v>
      </c>
      <c r="J66" s="215" t="e">
        <f t="shared" si="5"/>
        <v>#DIV/0!</v>
      </c>
      <c r="K66" s="216" t="e">
        <f t="shared" si="6"/>
        <v>#DIV/0!</v>
      </c>
      <c r="L66" s="223" t="e">
        <f t="shared" si="7"/>
        <v>#DIV/0!</v>
      </c>
    </row>
    <row r="67" spans="1:12" ht="14.25" thickTop="1" thickBot="1">
      <c r="A67" s="1851"/>
      <c r="B67" s="1851"/>
      <c r="C67" s="236" t="s">
        <v>9</v>
      </c>
      <c r="D67" s="237"/>
      <c r="E67" s="226"/>
      <c r="F67" s="227"/>
      <c r="G67" s="228"/>
      <c r="H67" s="227"/>
      <c r="I67" s="214" t="e">
        <f t="shared" si="4"/>
        <v>#DIV/0!</v>
      </c>
      <c r="J67" s="229" t="e">
        <f t="shared" si="5"/>
        <v>#DIV/0!</v>
      </c>
      <c r="K67" s="216" t="e">
        <f t="shared" si="6"/>
        <v>#DIV/0!</v>
      </c>
      <c r="L67" s="230" t="e">
        <f t="shared" si="7"/>
        <v>#DIV/0!</v>
      </c>
    </row>
    <row r="68" spans="1:12" ht="14.25" thickTop="1" thickBot="1">
      <c r="A68" s="1859">
        <v>190</v>
      </c>
      <c r="B68" s="1859" t="s">
        <v>1845</v>
      </c>
      <c r="C68" s="231" t="s">
        <v>2</v>
      </c>
      <c r="D68" s="242">
        <v>10</v>
      </c>
      <c r="E68" s="211">
        <v>205</v>
      </c>
      <c r="F68" s="212">
        <v>90</v>
      </c>
      <c r="G68" s="213">
        <v>1280</v>
      </c>
      <c r="H68" s="212">
        <v>596</v>
      </c>
      <c r="I68" s="214">
        <f t="shared" si="4"/>
        <v>6.2439024390243905</v>
      </c>
      <c r="J68" s="217">
        <f t="shared" si="5"/>
        <v>6.6222222222222218</v>
      </c>
      <c r="K68" s="216">
        <f t="shared" si="6"/>
        <v>35.06849315068493</v>
      </c>
      <c r="L68" s="217">
        <f t="shared" si="7"/>
        <v>32.747252747252745</v>
      </c>
    </row>
    <row r="69" spans="1:12" ht="14.25" thickTop="1" thickBot="1">
      <c r="A69" s="1850"/>
      <c r="B69" s="1850"/>
      <c r="C69" s="218" t="s">
        <v>4</v>
      </c>
      <c r="D69" s="243"/>
      <c r="E69" s="220"/>
      <c r="F69" s="221"/>
      <c r="G69" s="222"/>
      <c r="H69" s="221"/>
      <c r="I69" s="214" t="e">
        <f t="shared" si="4"/>
        <v>#DIV/0!</v>
      </c>
      <c r="J69" s="215" t="e">
        <f t="shared" si="5"/>
        <v>#DIV/0!</v>
      </c>
      <c r="K69" s="216" t="e">
        <f t="shared" si="6"/>
        <v>#DIV/0!</v>
      </c>
      <c r="L69" s="223" t="e">
        <f t="shared" si="7"/>
        <v>#DIV/0!</v>
      </c>
    </row>
    <row r="70" spans="1:12" ht="14.25" thickTop="1" thickBot="1">
      <c r="A70" s="1850"/>
      <c r="B70" s="1850"/>
      <c r="C70" s="218" t="s">
        <v>5</v>
      </c>
      <c r="D70" s="243"/>
      <c r="E70" s="220"/>
      <c r="F70" s="221"/>
      <c r="G70" s="222"/>
      <c r="H70" s="221"/>
      <c r="I70" s="214" t="e">
        <f t="shared" si="4"/>
        <v>#DIV/0!</v>
      </c>
      <c r="J70" s="215" t="e">
        <f t="shared" si="5"/>
        <v>#DIV/0!</v>
      </c>
      <c r="K70" s="216" t="e">
        <f t="shared" si="6"/>
        <v>#DIV/0!</v>
      </c>
      <c r="L70" s="223" t="e">
        <f t="shared" si="7"/>
        <v>#DIV/0!</v>
      </c>
    </row>
    <row r="71" spans="1:12" ht="14.25" thickTop="1" thickBot="1">
      <c r="A71" s="1851"/>
      <c r="B71" s="1851"/>
      <c r="C71" s="236" t="s">
        <v>9</v>
      </c>
      <c r="D71" s="244">
        <v>10</v>
      </c>
      <c r="E71" s="226">
        <v>205</v>
      </c>
      <c r="F71" s="227">
        <v>90</v>
      </c>
      <c r="G71" s="228">
        <v>1280</v>
      </c>
      <c r="H71" s="227">
        <v>596</v>
      </c>
      <c r="I71" s="214">
        <f t="shared" si="4"/>
        <v>6.2439024390243905</v>
      </c>
      <c r="J71" s="229">
        <f t="shared" si="5"/>
        <v>6.6222222222222218</v>
      </c>
      <c r="K71" s="216">
        <f t="shared" si="6"/>
        <v>35.06849315068493</v>
      </c>
      <c r="L71" s="230">
        <f t="shared" si="7"/>
        <v>32.747252747252745</v>
      </c>
    </row>
    <row r="72" spans="1:12" ht="14.25" thickTop="1" thickBot="1">
      <c r="A72" s="1847" t="s">
        <v>3</v>
      </c>
      <c r="B72" s="1847"/>
      <c r="C72" s="245" t="s">
        <v>2</v>
      </c>
      <c r="D72" s="246">
        <v>507</v>
      </c>
      <c r="E72" s="247">
        <v>19045</v>
      </c>
      <c r="F72" s="246">
        <v>9282</v>
      </c>
      <c r="G72" s="528" t="s">
        <v>1962</v>
      </c>
      <c r="H72" s="246">
        <v>52351</v>
      </c>
      <c r="I72" s="214">
        <f t="shared" ref="I72:I83" si="8">G72/E72</f>
        <v>5.6027828826463635</v>
      </c>
      <c r="J72" s="223">
        <f t="shared" ref="J72:J83" si="9">H72/F72</f>
        <v>5.640056022408964</v>
      </c>
      <c r="K72" s="216">
        <f t="shared" ref="K72:K83" si="10">+G72/(365*D72)*100</f>
        <v>57.661235848801709</v>
      </c>
      <c r="L72" s="223">
        <f t="shared" ref="L72:L83" si="11">H72/(182*D72)*100</f>
        <v>56.734291349675971</v>
      </c>
    </row>
    <row r="73" spans="1:12" ht="14.25" thickTop="1" thickBot="1">
      <c r="A73" s="1848"/>
      <c r="B73" s="1848"/>
      <c r="C73" s="218" t="s">
        <v>4</v>
      </c>
      <c r="D73" s="219">
        <v>26</v>
      </c>
      <c r="E73" s="248">
        <v>2215</v>
      </c>
      <c r="F73" s="221">
        <f>F65+F13</f>
        <v>650</v>
      </c>
      <c r="G73" s="249">
        <v>7030</v>
      </c>
      <c r="H73" s="221">
        <f>H65+H13</f>
        <v>3370</v>
      </c>
      <c r="I73" s="214">
        <f t="shared" si="8"/>
        <v>3.1738148984198644</v>
      </c>
      <c r="J73" s="215">
        <f t="shared" si="9"/>
        <v>5.1846153846153848</v>
      </c>
      <c r="K73" s="216">
        <f t="shared" si="10"/>
        <v>74.077976817702833</v>
      </c>
      <c r="L73" s="223">
        <f t="shared" si="11"/>
        <v>71.217244294167372</v>
      </c>
    </row>
    <row r="74" spans="1:12" ht="14.25" thickTop="1" thickBot="1">
      <c r="A74" s="1848"/>
      <c r="B74" s="1848"/>
      <c r="C74" s="218" t="s">
        <v>5</v>
      </c>
      <c r="D74" s="234">
        <v>0</v>
      </c>
      <c r="E74" s="248"/>
      <c r="F74" s="221"/>
      <c r="G74" s="249"/>
      <c r="H74" s="221"/>
      <c r="I74" s="214" t="e">
        <f t="shared" si="8"/>
        <v>#DIV/0!</v>
      </c>
      <c r="J74" s="215" t="e">
        <f t="shared" si="9"/>
        <v>#DIV/0!</v>
      </c>
      <c r="K74" s="216" t="e">
        <f t="shared" si="10"/>
        <v>#DIV/0!</v>
      </c>
      <c r="L74" s="223" t="e">
        <f t="shared" si="11"/>
        <v>#DIV/0!</v>
      </c>
    </row>
    <row r="75" spans="1:12" ht="14.25" thickTop="1" thickBot="1">
      <c r="A75" s="1849"/>
      <c r="B75" s="1849"/>
      <c r="C75" s="224" t="s">
        <v>9</v>
      </c>
      <c r="D75" s="225">
        <v>481</v>
      </c>
      <c r="E75" s="250">
        <v>16830</v>
      </c>
      <c r="F75" s="227">
        <f>F71+F63+F59+F55+F51+F47+F43+F39+F35+F31+F27+F23+F19+F15+F11</f>
        <v>8632</v>
      </c>
      <c r="G75" s="251">
        <v>99675</v>
      </c>
      <c r="H75" s="227">
        <f>H71+H63+H59+H55+H51+H47+H43+H39+H35+H31+H27+H23+H19+H15+H11</f>
        <v>49161</v>
      </c>
      <c r="I75" s="214">
        <f t="shared" si="8"/>
        <v>5.9224598930481287</v>
      </c>
      <c r="J75" s="215">
        <f t="shared" si="9"/>
        <v>5.6952038924930495</v>
      </c>
      <c r="K75" s="216">
        <f t="shared" si="10"/>
        <v>56.773844445077323</v>
      </c>
      <c r="L75" s="223">
        <f t="shared" si="11"/>
        <v>56.157044618583086</v>
      </c>
    </row>
    <row r="76" spans="1:12" ht="14.25" thickTop="1" thickBot="1">
      <c r="A76" s="1850">
        <v>510</v>
      </c>
      <c r="B76" s="1850" t="s">
        <v>1846</v>
      </c>
      <c r="C76" s="252" t="s">
        <v>2</v>
      </c>
      <c r="D76" s="243">
        <v>20</v>
      </c>
      <c r="E76" s="220">
        <v>0</v>
      </c>
      <c r="F76" s="253"/>
      <c r="G76" s="222">
        <v>0</v>
      </c>
      <c r="H76" s="253"/>
      <c r="I76" s="214" t="e">
        <f t="shared" si="8"/>
        <v>#DIV/0!</v>
      </c>
      <c r="J76" s="215" t="e">
        <f t="shared" si="9"/>
        <v>#DIV/0!</v>
      </c>
      <c r="K76" s="216">
        <f t="shared" si="10"/>
        <v>0</v>
      </c>
      <c r="L76" s="223">
        <f t="shared" si="11"/>
        <v>0</v>
      </c>
    </row>
    <row r="77" spans="1:12" ht="14.25" thickTop="1" thickBot="1">
      <c r="A77" s="1850"/>
      <c r="B77" s="1850"/>
      <c r="C77" s="218" t="s">
        <v>4</v>
      </c>
      <c r="D77" s="243">
        <v>0</v>
      </c>
      <c r="E77" s="220"/>
      <c r="F77" s="221"/>
      <c r="G77" s="222"/>
      <c r="H77" s="221"/>
      <c r="I77" s="214" t="e">
        <f t="shared" si="8"/>
        <v>#DIV/0!</v>
      </c>
      <c r="J77" s="215" t="e">
        <f t="shared" si="9"/>
        <v>#DIV/0!</v>
      </c>
      <c r="K77" s="216" t="e">
        <f t="shared" si="10"/>
        <v>#DIV/0!</v>
      </c>
      <c r="L77" s="223" t="e">
        <f t="shared" si="11"/>
        <v>#DIV/0!</v>
      </c>
    </row>
    <row r="78" spans="1:12" ht="14.25" thickTop="1" thickBot="1">
      <c r="A78" s="1850"/>
      <c r="B78" s="1850"/>
      <c r="C78" s="218" t="s">
        <v>5</v>
      </c>
      <c r="D78" s="243">
        <v>0</v>
      </c>
      <c r="E78" s="220"/>
      <c r="F78" s="221"/>
      <c r="G78" s="222"/>
      <c r="H78" s="221"/>
      <c r="I78" s="214" t="e">
        <f t="shared" si="8"/>
        <v>#DIV/0!</v>
      </c>
      <c r="J78" s="215" t="e">
        <f t="shared" si="9"/>
        <v>#DIV/0!</v>
      </c>
      <c r="K78" s="216" t="e">
        <f t="shared" si="10"/>
        <v>#DIV/0!</v>
      </c>
      <c r="L78" s="223" t="e">
        <f t="shared" si="11"/>
        <v>#DIV/0!</v>
      </c>
    </row>
    <row r="79" spans="1:12" ht="14.25" thickTop="1" thickBot="1">
      <c r="A79" s="1851"/>
      <c r="B79" s="1851"/>
      <c r="C79" s="236" t="s">
        <v>9</v>
      </c>
      <c r="D79" s="244">
        <v>20</v>
      </c>
      <c r="E79" s="226"/>
      <c r="F79" s="227"/>
      <c r="G79" s="228"/>
      <c r="H79" s="227"/>
      <c r="I79" s="214" t="e">
        <f t="shared" si="8"/>
        <v>#DIV/0!</v>
      </c>
      <c r="J79" s="215" t="e">
        <f t="shared" si="9"/>
        <v>#DIV/0!</v>
      </c>
      <c r="K79" s="216">
        <f t="shared" si="10"/>
        <v>0</v>
      </c>
      <c r="L79" s="223">
        <f t="shared" si="11"/>
        <v>0</v>
      </c>
    </row>
    <row r="80" spans="1:12" ht="14.25" thickTop="1" thickBot="1">
      <c r="A80" s="1852" t="s">
        <v>3</v>
      </c>
      <c r="B80" s="1852"/>
      <c r="C80" s="209" t="s">
        <v>2</v>
      </c>
      <c r="D80" s="254">
        <v>527</v>
      </c>
      <c r="E80" s="211">
        <v>0</v>
      </c>
      <c r="F80" s="212"/>
      <c r="G80" s="213">
        <v>0</v>
      </c>
      <c r="H80" s="212"/>
      <c r="I80" s="214" t="e">
        <f t="shared" si="8"/>
        <v>#DIV/0!</v>
      </c>
      <c r="J80" s="215" t="e">
        <f t="shared" si="9"/>
        <v>#DIV/0!</v>
      </c>
      <c r="K80" s="216">
        <f t="shared" si="10"/>
        <v>0</v>
      </c>
      <c r="L80" s="223">
        <f t="shared" si="11"/>
        <v>0</v>
      </c>
    </row>
    <row r="81" spans="1:12" ht="14.25" thickTop="1" thickBot="1">
      <c r="A81" s="1848"/>
      <c r="B81" s="1848"/>
      <c r="C81" s="218" t="s">
        <v>4</v>
      </c>
      <c r="D81" s="219">
        <v>26</v>
      </c>
      <c r="E81" s="220"/>
      <c r="F81" s="221"/>
      <c r="G81" s="222"/>
      <c r="H81" s="221"/>
      <c r="I81" s="214" t="e">
        <f t="shared" si="8"/>
        <v>#DIV/0!</v>
      </c>
      <c r="J81" s="215" t="e">
        <f t="shared" si="9"/>
        <v>#DIV/0!</v>
      </c>
      <c r="K81" s="216">
        <f t="shared" si="10"/>
        <v>0</v>
      </c>
      <c r="L81" s="223">
        <f t="shared" si="11"/>
        <v>0</v>
      </c>
    </row>
    <row r="82" spans="1:12" ht="14.25" thickTop="1" thickBot="1">
      <c r="A82" s="1848"/>
      <c r="B82" s="1848"/>
      <c r="C82" s="218" t="s">
        <v>5</v>
      </c>
      <c r="D82" s="234">
        <v>0</v>
      </c>
      <c r="E82" s="220"/>
      <c r="F82" s="221"/>
      <c r="G82" s="222"/>
      <c r="H82" s="221"/>
      <c r="I82" s="214" t="e">
        <f t="shared" si="8"/>
        <v>#DIV/0!</v>
      </c>
      <c r="J82" s="215" t="e">
        <f t="shared" si="9"/>
        <v>#DIV/0!</v>
      </c>
      <c r="K82" s="216" t="e">
        <f t="shared" si="10"/>
        <v>#DIV/0!</v>
      </c>
      <c r="L82" s="223" t="e">
        <f t="shared" si="11"/>
        <v>#DIV/0!</v>
      </c>
    </row>
    <row r="83" spans="1:12" ht="14.25" thickTop="1" thickBot="1">
      <c r="A83" s="1849"/>
      <c r="B83" s="1849"/>
      <c r="C83" s="224" t="s">
        <v>9</v>
      </c>
      <c r="D83" s="225">
        <v>501</v>
      </c>
      <c r="E83" s="226"/>
      <c r="F83" s="227"/>
      <c r="G83" s="228"/>
      <c r="H83" s="227"/>
      <c r="I83" s="214" t="e">
        <f t="shared" si="8"/>
        <v>#DIV/0!</v>
      </c>
      <c r="J83" s="215" t="e">
        <f t="shared" si="9"/>
        <v>#DIV/0!</v>
      </c>
      <c r="K83" s="216">
        <f t="shared" si="10"/>
        <v>0</v>
      </c>
      <c r="L83" s="223">
        <f t="shared" si="11"/>
        <v>0</v>
      </c>
    </row>
    <row r="84" spans="1:12" ht="13.5" thickTop="1"/>
  </sheetData>
  <mergeCells count="48">
    <mergeCell ref="C4:L4"/>
    <mergeCell ref="A16:A19"/>
    <mergeCell ref="B16:B19"/>
    <mergeCell ref="A20:A23"/>
    <mergeCell ref="B20:B23"/>
    <mergeCell ref="A24:A27"/>
    <mergeCell ref="B24:B27"/>
    <mergeCell ref="K6:L6"/>
    <mergeCell ref="A8:A11"/>
    <mergeCell ref="B8:B11"/>
    <mergeCell ref="A12:A15"/>
    <mergeCell ref="B12:B15"/>
    <mergeCell ref="A6:A7"/>
    <mergeCell ref="B6:B7"/>
    <mergeCell ref="C6:D6"/>
    <mergeCell ref="E6:F6"/>
    <mergeCell ref="G6:H6"/>
    <mergeCell ref="I6:J6"/>
    <mergeCell ref="A28:A31"/>
    <mergeCell ref="B28:B31"/>
    <mergeCell ref="A32:A35"/>
    <mergeCell ref="B32:B35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72:B75"/>
    <mergeCell ref="A76:A79"/>
    <mergeCell ref="B76:B79"/>
    <mergeCell ref="A80:B83"/>
    <mergeCell ref="C1:L1"/>
    <mergeCell ref="C2:L2"/>
    <mergeCell ref="A3:B3"/>
    <mergeCell ref="C3:L3"/>
    <mergeCell ref="A60:A63"/>
    <mergeCell ref="B60:B63"/>
    <mergeCell ref="A64:A67"/>
    <mergeCell ref="B64:B67"/>
    <mergeCell ref="A68:A71"/>
    <mergeCell ref="B68:B71"/>
    <mergeCell ref="A48:A51"/>
    <mergeCell ref="B48:B51"/>
  </mergeCells>
  <phoneticPr fontId="10" type="noConversion"/>
  <pageMargins left="0.23622047244094499" right="0.23622047244094499" top="0.35433070866141703" bottom="0.35433070866141703" header="0.31496062992126" footer="0.31496062992126"/>
  <pageSetup paperSize="9" scale="85"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SheetLayoutView="100" workbookViewId="0">
      <selection activeCell="I11" sqref="I11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16" customFormat="1" ht="24">
      <c r="A1" s="255"/>
      <c r="B1" s="256" t="s">
        <v>208</v>
      </c>
      <c r="C1" s="309" t="s">
        <v>1847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</row>
    <row r="2" spans="1:16" customFormat="1" ht="24">
      <c r="A2" s="255"/>
      <c r="B2" s="256" t="s">
        <v>209</v>
      </c>
      <c r="C2" s="309">
        <v>17878735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6" customFormat="1">
      <c r="A3" s="1855" t="s">
        <v>211</v>
      </c>
      <c r="B3" s="1856"/>
      <c r="C3" s="311">
        <v>43281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ht="15.75" customHeight="1">
      <c r="A4" s="110"/>
      <c r="B4" s="111" t="s">
        <v>210</v>
      </c>
      <c r="C4" s="107" t="s">
        <v>242</v>
      </c>
      <c r="D4" s="108"/>
      <c r="E4" s="108"/>
      <c r="F4" s="108"/>
      <c r="G4" s="109"/>
    </row>
    <row r="6" spans="1:16" ht="34.5" customHeight="1">
      <c r="A6" s="1874" t="s">
        <v>206</v>
      </c>
      <c r="B6" s="1870" t="s">
        <v>56</v>
      </c>
      <c r="C6" s="1871" t="s">
        <v>207</v>
      </c>
      <c r="D6" s="1871" t="s">
        <v>348</v>
      </c>
      <c r="E6" s="1872"/>
      <c r="F6" s="257"/>
      <c r="G6" s="1871" t="s">
        <v>249</v>
      </c>
      <c r="H6" s="1872"/>
      <c r="I6" s="258"/>
    </row>
    <row r="7" spans="1:16" ht="35.25" customHeight="1">
      <c r="A7" s="1874"/>
      <c r="B7" s="1870"/>
      <c r="C7" s="1870"/>
      <c r="D7" s="259" t="s">
        <v>368</v>
      </c>
      <c r="E7" s="260" t="s">
        <v>1819</v>
      </c>
      <c r="F7" s="261" t="s">
        <v>1848</v>
      </c>
      <c r="G7" s="259" t="s">
        <v>368</v>
      </c>
      <c r="H7" s="260" t="s">
        <v>1819</v>
      </c>
      <c r="I7" s="261" t="s">
        <v>1848</v>
      </c>
    </row>
    <row r="8" spans="1:16" ht="24.95" customHeight="1">
      <c r="A8" s="262">
        <v>310</v>
      </c>
      <c r="B8" s="263" t="s">
        <v>1849</v>
      </c>
      <c r="C8" s="264">
        <v>0</v>
      </c>
      <c r="D8" s="265">
        <v>990</v>
      </c>
      <c r="E8" s="260">
        <v>323</v>
      </c>
      <c r="F8" s="261">
        <f>E8/D8*100</f>
        <v>32.626262626262623</v>
      </c>
      <c r="G8" s="266">
        <v>4115</v>
      </c>
      <c r="H8" s="260">
        <v>2190</v>
      </c>
      <c r="I8" s="261">
        <f>H8/G8*100</f>
        <v>53.219927095990286</v>
      </c>
    </row>
    <row r="9" spans="1:16" ht="24.95" customHeight="1">
      <c r="A9" s="262">
        <v>420.42099999999999</v>
      </c>
      <c r="B9" s="263" t="s">
        <v>1850</v>
      </c>
      <c r="C9" s="264">
        <v>0</v>
      </c>
      <c r="D9" s="265">
        <v>285</v>
      </c>
      <c r="E9" s="260">
        <v>113</v>
      </c>
      <c r="F9" s="261">
        <f t="shared" ref="F9:F11" si="0">E9/D9*100</f>
        <v>39.649122807017548</v>
      </c>
      <c r="G9" s="266">
        <v>555</v>
      </c>
      <c r="H9" s="260">
        <v>209</v>
      </c>
      <c r="I9" s="261">
        <f t="shared" ref="I9:I11" si="1">H9/G9*100</f>
        <v>37.657657657657658</v>
      </c>
    </row>
    <row r="10" spans="1:16" ht="24.95" customHeight="1">
      <c r="A10" s="267">
        <v>433</v>
      </c>
      <c r="B10" s="263" t="s">
        <v>1851</v>
      </c>
      <c r="C10" s="264">
        <v>0</v>
      </c>
      <c r="D10" s="265">
        <v>95</v>
      </c>
      <c r="E10" s="260">
        <v>46</v>
      </c>
      <c r="F10" s="261">
        <f t="shared" si="0"/>
        <v>48.421052631578945</v>
      </c>
      <c r="G10" s="266">
        <v>355</v>
      </c>
      <c r="H10" s="260">
        <v>123</v>
      </c>
      <c r="I10" s="261">
        <f t="shared" si="1"/>
        <v>34.647887323943664</v>
      </c>
    </row>
    <row r="11" spans="1:16" ht="24.95" customHeight="1">
      <c r="A11" s="1873" t="s">
        <v>90</v>
      </c>
      <c r="B11" s="1873"/>
      <c r="C11" s="264">
        <v>0</v>
      </c>
      <c r="D11" s="268">
        <f>SUM(D8:D10)</f>
        <v>1370</v>
      </c>
      <c r="E11" s="268">
        <f>SUM(E8:E10)</f>
        <v>482</v>
      </c>
      <c r="F11" s="278">
        <f t="shared" si="0"/>
        <v>35.182481751824817</v>
      </c>
      <c r="G11" s="269">
        <f>SUM(G8:G10)</f>
        <v>5025</v>
      </c>
      <c r="H11" s="270">
        <f>SUM(H8:H10)</f>
        <v>2522</v>
      </c>
      <c r="I11" s="271">
        <f t="shared" si="1"/>
        <v>50.189054726368155</v>
      </c>
    </row>
    <row r="12" spans="1:16" ht="24.95" customHeight="1">
      <c r="A12" s="272"/>
      <c r="B12" s="273"/>
      <c r="C12" s="81"/>
      <c r="D12" s="81"/>
      <c r="E12" s="274"/>
      <c r="F12" s="275"/>
      <c r="G12" s="274"/>
      <c r="H12" s="3"/>
    </row>
    <row r="13" spans="1:16" ht="24.95" customHeight="1">
      <c r="A13" s="272"/>
      <c r="B13" s="273"/>
      <c r="C13" s="81"/>
      <c r="D13" s="81"/>
      <c r="E13" s="274"/>
      <c r="F13" s="275"/>
      <c r="G13" s="274"/>
      <c r="H13" s="3"/>
    </row>
    <row r="14" spans="1:16" ht="24.95" customHeight="1">
      <c r="A14" s="272"/>
      <c r="B14" s="273"/>
      <c r="C14" s="81"/>
      <c r="D14" s="81"/>
      <c r="E14" s="274"/>
      <c r="F14" s="275"/>
      <c r="G14" s="274"/>
      <c r="H14" s="3"/>
    </row>
    <row r="15" spans="1:16" ht="24.95" customHeight="1">
      <c r="A15" s="272"/>
      <c r="B15" s="273"/>
      <c r="C15" s="81"/>
      <c r="D15" s="81"/>
      <c r="E15" s="274"/>
      <c r="F15" s="275"/>
      <c r="G15" s="274"/>
      <c r="H15" s="3"/>
    </row>
    <row r="16" spans="1:16" ht="24.95" customHeight="1">
      <c r="A16" s="272"/>
      <c r="B16" s="273"/>
      <c r="C16" s="81"/>
      <c r="D16" s="81"/>
      <c r="E16" s="274"/>
      <c r="F16" s="275"/>
      <c r="G16" s="274"/>
      <c r="H16" s="3"/>
    </row>
    <row r="17" spans="1:8" ht="24.95" customHeight="1">
      <c r="A17" s="272"/>
      <c r="B17" s="273"/>
      <c r="C17" s="81"/>
      <c r="D17" s="81"/>
      <c r="E17" s="274"/>
      <c r="F17" s="275"/>
      <c r="G17" s="274"/>
      <c r="H17" s="3"/>
    </row>
    <row r="18" spans="1:8" ht="24.95" customHeight="1">
      <c r="A18" s="1869"/>
      <c r="B18" s="1869"/>
      <c r="C18" s="276"/>
      <c r="D18" s="276"/>
      <c r="E18" s="276"/>
      <c r="F18" s="277"/>
      <c r="G18" s="276"/>
      <c r="H18" s="3"/>
    </row>
  </sheetData>
  <mergeCells count="8">
    <mergeCell ref="A3:B3"/>
    <mergeCell ref="A6:A7"/>
    <mergeCell ref="A18:B18"/>
    <mergeCell ref="B6:B7"/>
    <mergeCell ref="C6:C7"/>
    <mergeCell ref="D6:E6"/>
    <mergeCell ref="G6:H6"/>
    <mergeCell ref="A11:B11"/>
  </mergeCells>
  <phoneticPr fontId="1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SheetLayoutView="100" workbookViewId="0">
      <selection activeCell="K26" sqref="K26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9">
      <c r="A1" s="1876" t="s">
        <v>208</v>
      </c>
      <c r="B1" s="1877"/>
      <c r="C1" s="1878" t="s">
        <v>1852</v>
      </c>
      <c r="D1" s="1879"/>
      <c r="E1" s="1879"/>
      <c r="F1" s="1879"/>
      <c r="G1" s="1879"/>
      <c r="H1" s="1879"/>
      <c r="I1" s="1879"/>
    </row>
    <row r="2" spans="1:9">
      <c r="A2" s="1876" t="s">
        <v>209</v>
      </c>
      <c r="B2" s="1877"/>
      <c r="C2" s="1878">
        <v>17878735</v>
      </c>
      <c r="D2" s="1879"/>
      <c r="E2" s="1879"/>
      <c r="F2" s="1879"/>
      <c r="G2" s="1879"/>
      <c r="H2" s="1879"/>
      <c r="I2" s="1879"/>
    </row>
    <row r="3" spans="1:9">
      <c r="A3" s="1876" t="s">
        <v>211</v>
      </c>
      <c r="B3" s="1877"/>
      <c r="C3" s="1878" t="s">
        <v>1853</v>
      </c>
      <c r="D3" s="1879"/>
      <c r="E3" s="1879"/>
      <c r="F3" s="1879"/>
      <c r="G3" s="1879"/>
      <c r="H3" s="1879"/>
      <c r="I3" s="1879"/>
    </row>
    <row r="4" spans="1:9" ht="14.25">
      <c r="A4" s="1876" t="s">
        <v>210</v>
      </c>
      <c r="B4" s="1877"/>
      <c r="C4" s="1882" t="s">
        <v>330</v>
      </c>
      <c r="D4" s="1883"/>
      <c r="E4" s="1883"/>
      <c r="F4" s="1883"/>
      <c r="G4" s="1883"/>
      <c r="H4" s="1883"/>
      <c r="I4" s="1883"/>
    </row>
    <row r="5" spans="1:9" ht="12.75" customHeight="1">
      <c r="A5" s="1884" t="s">
        <v>206</v>
      </c>
      <c r="B5" s="1886" t="s">
        <v>56</v>
      </c>
      <c r="C5" s="1888" t="s">
        <v>136</v>
      </c>
      <c r="D5" s="1889" t="s">
        <v>243</v>
      </c>
      <c r="E5" s="1890"/>
      <c r="F5" s="1891"/>
      <c r="G5" s="1889" t="s">
        <v>244</v>
      </c>
      <c r="H5" s="1890"/>
      <c r="I5" s="1891"/>
    </row>
    <row r="6" spans="1:9" s="1" customFormat="1" ht="23.25" customHeight="1" thickBot="1">
      <c r="A6" s="1885"/>
      <c r="B6" s="1887"/>
      <c r="C6" s="1887"/>
      <c r="D6" s="279" t="s">
        <v>368</v>
      </c>
      <c r="E6" s="280" t="s">
        <v>1854</v>
      </c>
      <c r="F6" s="281" t="s">
        <v>1855</v>
      </c>
      <c r="G6" s="279" t="s">
        <v>368</v>
      </c>
      <c r="H6" s="282" t="s">
        <v>1854</v>
      </c>
      <c r="I6" s="281" t="s">
        <v>1855</v>
      </c>
    </row>
    <row r="7" spans="1:9" s="1" customFormat="1" ht="32.25" customHeight="1" thickTop="1">
      <c r="A7" s="283">
        <v>805</v>
      </c>
      <c r="B7" s="284" t="s">
        <v>1856</v>
      </c>
      <c r="C7" s="285">
        <v>4</v>
      </c>
      <c r="D7" s="286">
        <v>350</v>
      </c>
      <c r="E7" s="287">
        <v>166</v>
      </c>
      <c r="F7" s="288">
        <f>E7/D7*100</f>
        <v>47.428571428571431</v>
      </c>
      <c r="G7" s="289">
        <v>560</v>
      </c>
      <c r="H7" s="287">
        <v>565</v>
      </c>
      <c r="I7" s="290">
        <f>H7/G7*100</f>
        <v>100.89285714285714</v>
      </c>
    </row>
    <row r="8" spans="1:9" ht="21.95" customHeight="1">
      <c r="A8" s="291">
        <v>805</v>
      </c>
      <c r="B8" s="292" t="s">
        <v>1857</v>
      </c>
      <c r="C8" s="293">
        <v>5</v>
      </c>
      <c r="D8" s="294">
        <v>50</v>
      </c>
      <c r="E8" s="295">
        <v>68</v>
      </c>
      <c r="F8" s="288">
        <f t="shared" ref="F8:F20" si="0">E8/D8*100</f>
        <v>136</v>
      </c>
      <c r="G8" s="289">
        <v>260</v>
      </c>
      <c r="H8" s="295">
        <v>322</v>
      </c>
      <c r="I8" s="290">
        <f t="shared" ref="I8:I20" si="1">H8/G8*100</f>
        <v>123.84615384615385</v>
      </c>
    </row>
    <row r="9" spans="1:9" ht="21.95" customHeight="1">
      <c r="A9" s="296">
        <v>805</v>
      </c>
      <c r="B9" s="292" t="s">
        <v>1858</v>
      </c>
      <c r="C9" s="293">
        <v>3</v>
      </c>
      <c r="D9" s="294">
        <v>66</v>
      </c>
      <c r="E9" s="295">
        <v>29</v>
      </c>
      <c r="F9" s="288">
        <f t="shared" si="0"/>
        <v>43.939393939393938</v>
      </c>
      <c r="G9" s="294">
        <v>270</v>
      </c>
      <c r="H9" s="295">
        <v>104</v>
      </c>
      <c r="I9" s="290">
        <f t="shared" si="1"/>
        <v>38.518518518518519</v>
      </c>
    </row>
    <row r="10" spans="1:9" ht="21.95" customHeight="1">
      <c r="A10" s="291">
        <v>805</v>
      </c>
      <c r="B10" s="292" t="s">
        <v>1859</v>
      </c>
      <c r="C10" s="293">
        <v>1</v>
      </c>
      <c r="D10" s="297">
        <v>20</v>
      </c>
      <c r="E10" s="295">
        <v>6</v>
      </c>
      <c r="F10" s="288">
        <f t="shared" si="0"/>
        <v>30</v>
      </c>
      <c r="G10" s="297">
        <v>220</v>
      </c>
      <c r="H10" s="295">
        <v>50</v>
      </c>
      <c r="I10" s="290">
        <f t="shared" si="1"/>
        <v>22.727272727272727</v>
      </c>
    </row>
    <row r="11" spans="1:9" ht="21.95" customHeight="1">
      <c r="A11" s="291">
        <v>805</v>
      </c>
      <c r="B11" s="292" t="s">
        <v>1860</v>
      </c>
      <c r="C11" s="293">
        <v>2</v>
      </c>
      <c r="D11" s="294">
        <v>140</v>
      </c>
      <c r="E11" s="295">
        <v>108</v>
      </c>
      <c r="F11" s="288">
        <f t="shared" si="0"/>
        <v>77.142857142857153</v>
      </c>
      <c r="G11" s="294">
        <v>540</v>
      </c>
      <c r="H11" s="295">
        <v>612</v>
      </c>
      <c r="I11" s="290">
        <f t="shared" si="1"/>
        <v>113.33333333333333</v>
      </c>
    </row>
    <row r="12" spans="1:9" ht="21.95" customHeight="1">
      <c r="A12" s="291">
        <v>806</v>
      </c>
      <c r="B12" s="292" t="s">
        <v>1861</v>
      </c>
      <c r="C12" s="293">
        <v>7</v>
      </c>
      <c r="D12" s="297">
        <v>85</v>
      </c>
      <c r="E12" s="295">
        <v>6</v>
      </c>
      <c r="F12" s="288">
        <f t="shared" si="0"/>
        <v>7.0588235294117645</v>
      </c>
      <c r="G12" s="297">
        <v>485</v>
      </c>
      <c r="H12" s="295">
        <v>91</v>
      </c>
      <c r="I12" s="290">
        <f t="shared" si="1"/>
        <v>18.762886597938145</v>
      </c>
    </row>
    <row r="13" spans="1:9" ht="21.95" customHeight="1">
      <c r="A13" s="291">
        <v>800</v>
      </c>
      <c r="B13" s="292" t="s">
        <v>1862</v>
      </c>
      <c r="C13" s="293">
        <v>8</v>
      </c>
      <c r="D13" s="294">
        <v>1470</v>
      </c>
      <c r="E13" s="295">
        <v>855</v>
      </c>
      <c r="F13" s="288">
        <f t="shared" si="0"/>
        <v>58.163265306122447</v>
      </c>
      <c r="G13" s="294">
        <v>3050</v>
      </c>
      <c r="H13" s="295">
        <v>1847</v>
      </c>
      <c r="I13" s="290">
        <f t="shared" si="1"/>
        <v>60.557377049180324</v>
      </c>
    </row>
    <row r="14" spans="1:9" ht="37.5" customHeight="1">
      <c r="A14" s="291">
        <v>801</v>
      </c>
      <c r="B14" s="292" t="s">
        <v>1863</v>
      </c>
      <c r="C14" s="293">
        <v>5</v>
      </c>
      <c r="D14" s="294">
        <v>47</v>
      </c>
      <c r="E14" s="295">
        <v>17</v>
      </c>
      <c r="F14" s="288">
        <f t="shared" si="0"/>
        <v>36.170212765957451</v>
      </c>
      <c r="G14" s="298">
        <v>195</v>
      </c>
      <c r="H14" s="295">
        <v>92</v>
      </c>
      <c r="I14" s="290">
        <f t="shared" si="1"/>
        <v>47.179487179487175</v>
      </c>
    </row>
    <row r="15" spans="1:9" ht="36.75" customHeight="1">
      <c r="A15" s="291">
        <v>801</v>
      </c>
      <c r="B15" s="292" t="s">
        <v>1864</v>
      </c>
      <c r="C15" s="293">
        <v>2</v>
      </c>
      <c r="D15" s="299">
        <v>5</v>
      </c>
      <c r="E15" s="295">
        <v>1</v>
      </c>
      <c r="F15" s="288">
        <f t="shared" si="0"/>
        <v>20</v>
      </c>
      <c r="G15" s="300">
        <v>20</v>
      </c>
      <c r="H15" s="295">
        <v>1</v>
      </c>
      <c r="I15" s="290">
        <f t="shared" si="1"/>
        <v>5</v>
      </c>
    </row>
    <row r="16" spans="1:9" ht="21.95" customHeight="1">
      <c r="A16" s="291">
        <v>801</v>
      </c>
      <c r="B16" s="292" t="s">
        <v>1865</v>
      </c>
      <c r="C16" s="293">
        <v>2</v>
      </c>
      <c r="D16" s="301">
        <v>230</v>
      </c>
      <c r="E16" s="302">
        <v>87</v>
      </c>
      <c r="F16" s="288">
        <f t="shared" si="0"/>
        <v>37.826086956521735</v>
      </c>
      <c r="G16" s="301">
        <v>470</v>
      </c>
      <c r="H16" s="302">
        <v>144</v>
      </c>
      <c r="I16" s="290">
        <f t="shared" si="1"/>
        <v>30.638297872340424</v>
      </c>
    </row>
    <row r="17" spans="1:9" ht="33" customHeight="1">
      <c r="A17" s="291">
        <v>801</v>
      </c>
      <c r="B17" s="292" t="s">
        <v>1866</v>
      </c>
      <c r="C17" s="293">
        <v>3</v>
      </c>
      <c r="D17" s="301">
        <v>235</v>
      </c>
      <c r="E17" s="303">
        <v>159</v>
      </c>
      <c r="F17" s="288">
        <f t="shared" si="0"/>
        <v>67.659574468085111</v>
      </c>
      <c r="G17" s="301">
        <v>305</v>
      </c>
      <c r="H17" s="304">
        <v>206</v>
      </c>
      <c r="I17" s="290">
        <f t="shared" si="1"/>
        <v>67.540983606557376</v>
      </c>
    </row>
    <row r="18" spans="1:9" ht="24.95" customHeight="1">
      <c r="A18" s="291">
        <v>801</v>
      </c>
      <c r="B18" s="292" t="s">
        <v>1867</v>
      </c>
      <c r="C18" s="293">
        <v>1</v>
      </c>
      <c r="D18" s="301">
        <v>145</v>
      </c>
      <c r="E18" s="303">
        <v>78</v>
      </c>
      <c r="F18" s="288">
        <f t="shared" si="0"/>
        <v>53.793103448275858</v>
      </c>
      <c r="G18" s="301">
        <v>145</v>
      </c>
      <c r="H18" s="303">
        <v>78</v>
      </c>
      <c r="I18" s="290">
        <f t="shared" si="1"/>
        <v>53.793103448275858</v>
      </c>
    </row>
    <row r="19" spans="1:9" ht="12.95" customHeight="1">
      <c r="A19" s="291">
        <v>801</v>
      </c>
      <c r="B19" s="292" t="s">
        <v>1868</v>
      </c>
      <c r="C19" s="293">
        <v>1</v>
      </c>
      <c r="D19" s="301">
        <v>55</v>
      </c>
      <c r="E19" s="305">
        <v>28</v>
      </c>
      <c r="F19" s="288">
        <f t="shared" si="0"/>
        <v>50.909090909090907</v>
      </c>
      <c r="G19" s="301">
        <v>500</v>
      </c>
      <c r="H19" s="305">
        <v>193</v>
      </c>
      <c r="I19" s="290">
        <f t="shared" si="1"/>
        <v>38.6</v>
      </c>
    </row>
    <row r="20" spans="1:9" ht="12.95" customHeight="1">
      <c r="A20" s="1880" t="s">
        <v>90</v>
      </c>
      <c r="B20" s="1881"/>
      <c r="C20" s="306">
        <v>44</v>
      </c>
      <c r="D20" s="307">
        <v>2887</v>
      </c>
      <c r="E20" s="308">
        <f>SUM(E7:E19)</f>
        <v>1608</v>
      </c>
      <c r="F20" s="288">
        <f t="shared" si="0"/>
        <v>55.697956356078969</v>
      </c>
      <c r="G20" s="307">
        <f>SUM(G7:G19)</f>
        <v>7020</v>
      </c>
      <c r="H20" s="308">
        <f>SUM(H7:H19)</f>
        <v>4305</v>
      </c>
      <c r="I20" s="290">
        <f t="shared" si="1"/>
        <v>61.324786324786331</v>
      </c>
    </row>
    <row r="21" spans="1:9" ht="30.75" customHeight="1">
      <c r="A21" s="1875" t="s">
        <v>2369</v>
      </c>
      <c r="B21" s="1875"/>
      <c r="C21" s="1875"/>
      <c r="D21" s="1875"/>
      <c r="E21" s="1875"/>
      <c r="F21" s="1875"/>
      <c r="G21" s="1875"/>
      <c r="H21" s="1875"/>
      <c r="I21" s="1875"/>
    </row>
    <row r="22" spans="1:9" ht="12.95" customHeight="1"/>
  </sheetData>
  <mergeCells count="15">
    <mergeCell ref="A21:I21"/>
    <mergeCell ref="A1:B1"/>
    <mergeCell ref="C1:I1"/>
    <mergeCell ref="A2:B2"/>
    <mergeCell ref="C2:I2"/>
    <mergeCell ref="A3:B3"/>
    <mergeCell ref="C3:I3"/>
    <mergeCell ref="A20:B20"/>
    <mergeCell ref="A4:B4"/>
    <mergeCell ref="C4:I4"/>
    <mergeCell ref="A5:A6"/>
    <mergeCell ref="B5:B6"/>
    <mergeCell ref="C5:C6"/>
    <mergeCell ref="D5:F5"/>
    <mergeCell ref="G5:I5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11</vt:i4>
      </vt:variant>
    </vt:vector>
  </HeadingPairs>
  <TitlesOfParts>
    <vt:vector size="33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Krv!Print_Area</vt:lpstr>
      <vt:lpstr>Lekovi!Print_Area</vt:lpstr>
      <vt:lpstr>Liste.čekanja!Print_Area</vt:lpstr>
      <vt:lpstr>Neonatologija!Print_Area</vt:lpstr>
      <vt:lpstr>Operacije!Print_Area</vt:lpstr>
      <vt:lpstr>Pratioci!Print_Area</vt:lpstr>
      <vt:lpstr>Usluge!Print_Area</vt:lpstr>
      <vt:lpstr>Implantati!Print_Titles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ulaz</cp:lastModifiedBy>
  <cp:lastPrinted>2018-08-29T09:29:37Z</cp:lastPrinted>
  <dcterms:created xsi:type="dcterms:W3CDTF">1998-03-25T08:50:17Z</dcterms:created>
  <dcterms:modified xsi:type="dcterms:W3CDTF">2018-08-29T11:21:41Z</dcterms:modified>
</cp:coreProperties>
</file>